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xr:revisionPtr revIDLastSave="0" documentId="8_{D744E423-19D8-465B-B1AD-2FA54E618A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utput Projections" sheetId="1" r:id="rId1"/>
    <sheet name="Sheet1" sheetId="2" state="hidden" r:id="rId2"/>
  </sheets>
  <externalReferences>
    <externalReference r:id="rId3"/>
  </externalReferences>
  <definedNames>
    <definedName name="Confidence_lvl">0.9</definedName>
    <definedName name="Hrs_Yr">8760</definedName>
    <definedName name="kWh_per_kW">'[1]Total Portfolio'!$E$10</definedName>
    <definedName name="Max_Incentive_lvl">1.25</definedName>
    <definedName name="MWh_per_kW" localSheetId="0">'Output Projections'!$E$9</definedName>
    <definedName name="MWh_per_kW">#REF!</definedName>
    <definedName name="Program_Term">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8" i="2"/>
  <c r="C7" i="2"/>
  <c r="C6" i="2"/>
  <c r="C5" i="2"/>
  <c r="C4" i="2"/>
  <c r="C3" i="2"/>
  <c r="C2" i="2"/>
  <c r="H59" i="1"/>
  <c r="H58" i="1"/>
  <c r="L52" i="1"/>
  <c r="E51" i="1"/>
  <c r="E47" i="1"/>
  <c r="D37" i="1"/>
  <c r="D38" i="1" s="1"/>
  <c r="E36" i="1"/>
  <c r="M26" i="1"/>
  <c r="E44" i="1" s="1"/>
  <c r="E25" i="1"/>
  <c r="H24" i="1"/>
  <c r="I24" i="1" s="1"/>
  <c r="G24" i="1"/>
  <c r="G25" i="1" s="1"/>
  <c r="G29" i="1" s="1"/>
  <c r="F24" i="1"/>
  <c r="F25" i="1" s="1"/>
  <c r="F29" i="1" s="1"/>
  <c r="E19" i="1"/>
  <c r="E20" i="1" s="1"/>
  <c r="E21" i="1" s="1"/>
  <c r="E15" i="1"/>
  <c r="E13" i="1"/>
  <c r="P26" i="1" s="1"/>
  <c r="J11" i="1"/>
  <c r="J14" i="1" s="1"/>
  <c r="J10" i="1"/>
  <c r="E8" i="1"/>
  <c r="K6" i="1"/>
  <c r="E22" i="1" l="1"/>
  <c r="E27" i="1"/>
  <c r="E29" i="1"/>
  <c r="J24" i="1"/>
  <c r="I25" i="1"/>
  <c r="I29" i="1" s="1"/>
  <c r="F36" i="1"/>
  <c r="I58" i="1" s="1"/>
  <c r="H60" i="1"/>
  <c r="D39" i="1"/>
  <c r="H25" i="1"/>
  <c r="H29" i="1" s="1"/>
  <c r="L59" i="1"/>
  <c r="I26" i="1"/>
  <c r="L58" i="1"/>
  <c r="M59" i="1"/>
  <c r="R26" i="1"/>
  <c r="E10" i="1"/>
  <c r="K26" i="1"/>
  <c r="S26" i="1"/>
  <c r="M58" i="1"/>
  <c r="Q26" i="1"/>
  <c r="J26" i="1"/>
  <c r="L26" i="1"/>
  <c r="N26" i="1"/>
  <c r="G26" i="1"/>
  <c r="O26" i="1"/>
  <c r="F26" i="1"/>
  <c r="H26" i="1"/>
  <c r="K24" i="1" l="1"/>
  <c r="J25" i="1"/>
  <c r="J29" i="1" s="1"/>
  <c r="E43" i="1"/>
  <c r="E48" i="1"/>
  <c r="D40" i="1"/>
  <c r="H61" i="1"/>
  <c r="F27" i="1"/>
  <c r="U26" i="1"/>
  <c r="E37" i="1"/>
  <c r="E40" i="1"/>
  <c r="F40" i="1" s="1"/>
  <c r="I27" i="1"/>
  <c r="H27" i="1"/>
  <c r="E39" i="1"/>
  <c r="F39" i="1" s="1"/>
  <c r="E49" i="1"/>
  <c r="M36" i="1"/>
  <c r="H36" i="1"/>
  <c r="E30" i="1" s="1"/>
  <c r="E50" i="1"/>
  <c r="L60" i="1"/>
  <c r="M60" i="1"/>
  <c r="E41" i="1"/>
  <c r="F41" i="1" s="1"/>
  <c r="J27" i="1"/>
  <c r="E46" i="1"/>
  <c r="G27" i="1"/>
  <c r="E38" i="1"/>
  <c r="F38" i="1" s="1"/>
  <c r="I60" i="1" s="1"/>
  <c r="E45" i="1"/>
  <c r="E42" i="1"/>
  <c r="M40" i="1" l="1"/>
  <c r="M41" i="1"/>
  <c r="E52" i="1"/>
  <c r="F37" i="1"/>
  <c r="M39" i="1"/>
  <c r="M61" i="1"/>
  <c r="L61" i="1"/>
  <c r="I61" i="1"/>
  <c r="K25" i="1"/>
  <c r="L24" i="1"/>
  <c r="M38" i="1"/>
  <c r="D41" i="1"/>
  <c r="H62" i="1"/>
  <c r="K29" i="1" l="1"/>
  <c r="K27" i="1"/>
  <c r="F42" i="1"/>
  <c r="M37" i="1"/>
  <c r="I59" i="1"/>
  <c r="H38" i="1"/>
  <c r="G30" i="1" s="1"/>
  <c r="H40" i="1"/>
  <c r="I30" i="1" s="1"/>
  <c r="H41" i="1"/>
  <c r="J30" i="1" s="1"/>
  <c r="H37" i="1"/>
  <c r="F30" i="1" s="1"/>
  <c r="H39" i="1"/>
  <c r="H30" i="1" s="1"/>
  <c r="H42" i="1"/>
  <c r="K30" i="1" s="1"/>
  <c r="M62" i="1"/>
  <c r="L62" i="1"/>
  <c r="I62" i="1"/>
  <c r="D42" i="1"/>
  <c r="H63" i="1"/>
  <c r="M24" i="1"/>
  <c r="L25" i="1"/>
  <c r="M63" i="1" l="1"/>
  <c r="L63" i="1"/>
  <c r="I63" i="1"/>
  <c r="H64" i="1"/>
  <c r="D43" i="1"/>
  <c r="M42" i="1"/>
  <c r="L29" i="1"/>
  <c r="L27" i="1"/>
  <c r="F43" i="1"/>
  <c r="N24" i="1"/>
  <c r="M25" i="1"/>
  <c r="M29" i="1" l="1"/>
  <c r="M27" i="1"/>
  <c r="F44" i="1"/>
  <c r="O24" i="1"/>
  <c r="N25" i="1"/>
  <c r="M43" i="1"/>
  <c r="H43" i="1"/>
  <c r="L30" i="1" s="1"/>
  <c r="H44" i="1"/>
  <c r="M30" i="1" s="1"/>
  <c r="D44" i="1"/>
  <c r="H65" i="1"/>
  <c r="M64" i="1"/>
  <c r="L64" i="1"/>
  <c r="I64" i="1"/>
  <c r="N29" i="1" l="1"/>
  <c r="N27" i="1"/>
  <c r="F45" i="1"/>
  <c r="O25" i="1"/>
  <c r="P24" i="1"/>
  <c r="M44" i="1"/>
  <c r="I65" i="1"/>
  <c r="M65" i="1"/>
  <c r="L65" i="1"/>
  <c r="D45" i="1"/>
  <c r="H66" i="1"/>
  <c r="O29" i="1" l="1"/>
  <c r="O27" i="1"/>
  <c r="F46" i="1"/>
  <c r="I66" i="1"/>
  <c r="M66" i="1"/>
  <c r="L66" i="1"/>
  <c r="H67" i="1"/>
  <c r="D46" i="1"/>
  <c r="M45" i="1"/>
  <c r="H45" i="1"/>
  <c r="N30" i="1" s="1"/>
  <c r="P25" i="1"/>
  <c r="Q24" i="1"/>
  <c r="R24" i="1" l="1"/>
  <c r="Q25" i="1"/>
  <c r="I67" i="1"/>
  <c r="M67" i="1"/>
  <c r="L67" i="1"/>
  <c r="M46" i="1"/>
  <c r="H68" i="1"/>
  <c r="D47" i="1"/>
  <c r="P29" i="1"/>
  <c r="F47" i="1"/>
  <c r="P27" i="1"/>
  <c r="H46" i="1"/>
  <c r="O30" i="1" s="1"/>
  <c r="D48" i="1" l="1"/>
  <c r="H69" i="1"/>
  <c r="L68" i="1"/>
  <c r="I68" i="1"/>
  <c r="M68" i="1"/>
  <c r="Q29" i="1"/>
  <c r="Q27" i="1"/>
  <c r="F48" i="1"/>
  <c r="M47" i="1"/>
  <c r="H47" i="1"/>
  <c r="P30" i="1" s="1"/>
  <c r="S24" i="1"/>
  <c r="R25" i="1"/>
  <c r="R29" i="1" l="1"/>
  <c r="R27" i="1"/>
  <c r="F49" i="1"/>
  <c r="S25" i="1"/>
  <c r="T24" i="1"/>
  <c r="T25" i="1" s="1"/>
  <c r="M48" i="1"/>
  <c r="H48" i="1"/>
  <c r="Q30" i="1" s="1"/>
  <c r="M69" i="1"/>
  <c r="L69" i="1"/>
  <c r="I69" i="1"/>
  <c r="D49" i="1"/>
  <c r="H70" i="1"/>
  <c r="S29" i="1" l="1"/>
  <c r="S27" i="1"/>
  <c r="F50" i="1"/>
  <c r="T27" i="1"/>
  <c r="T29" i="1"/>
  <c r="U29" i="1" s="1"/>
  <c r="F51" i="1"/>
  <c r="M49" i="1"/>
  <c r="H49" i="1"/>
  <c r="R30" i="1" s="1"/>
  <c r="D50" i="1"/>
  <c r="H71" i="1"/>
  <c r="M70" i="1"/>
  <c r="L70" i="1"/>
  <c r="I70" i="1"/>
  <c r="M71" i="1" l="1"/>
  <c r="L71" i="1"/>
  <c r="I71" i="1"/>
  <c r="U27" i="1"/>
  <c r="K7" i="1" s="1"/>
  <c r="N50" i="1" s="1"/>
  <c r="M51" i="1"/>
  <c r="F52" i="1"/>
  <c r="H51" i="1"/>
  <c r="H72" i="1"/>
  <c r="D51" i="1"/>
  <c r="M50" i="1"/>
  <c r="H50" i="1"/>
  <c r="S30" i="1" s="1"/>
  <c r="G36" i="1" l="1"/>
  <c r="G38" i="1"/>
  <c r="J60" i="1" s="1"/>
  <c r="G41" i="1"/>
  <c r="J63" i="1" s="1"/>
  <c r="G40" i="1"/>
  <c r="J62" i="1" s="1"/>
  <c r="G39" i="1"/>
  <c r="J61" i="1" s="1"/>
  <c r="G37" i="1"/>
  <c r="J59" i="1" s="1"/>
  <c r="G42" i="1"/>
  <c r="J64" i="1" s="1"/>
  <c r="G43" i="1"/>
  <c r="J65" i="1" s="1"/>
  <c r="G44" i="1"/>
  <c r="J66" i="1" s="1"/>
  <c r="G45" i="1"/>
  <c r="J67" i="1" s="1"/>
  <c r="G46" i="1"/>
  <c r="J68" i="1" s="1"/>
  <c r="G47" i="1"/>
  <c r="J69" i="1" s="1"/>
  <c r="G48" i="1"/>
  <c r="J70" i="1" s="1"/>
  <c r="G49" i="1"/>
  <c r="J71" i="1" s="1"/>
  <c r="M72" i="1"/>
  <c r="M73" i="1" s="1"/>
  <c r="L72" i="1"/>
  <c r="L73" i="1" s="1"/>
  <c r="I72" i="1"/>
  <c r="I73" i="1" s="1"/>
  <c r="T30" i="1"/>
  <c r="H52" i="1"/>
  <c r="G50" i="1"/>
  <c r="J72" i="1" s="1"/>
  <c r="N31" i="1"/>
  <c r="N32" i="1" s="1"/>
  <c r="F31" i="1"/>
  <c r="F32" i="1" s="1"/>
  <c r="M31" i="1"/>
  <c r="M32" i="1" s="1"/>
  <c r="E31" i="1"/>
  <c r="E32" i="1" s="1"/>
  <c r="T31" i="1"/>
  <c r="T32" i="1" s="1"/>
  <c r="L31" i="1"/>
  <c r="L32" i="1" s="1"/>
  <c r="R31" i="1"/>
  <c r="R32" i="1" s="1"/>
  <c r="J31" i="1"/>
  <c r="J32" i="1" s="1"/>
  <c r="P31" i="1"/>
  <c r="P32" i="1" s="1"/>
  <c r="O31" i="1"/>
  <c r="O32" i="1" s="1"/>
  <c r="G31" i="1"/>
  <c r="G32" i="1" s="1"/>
  <c r="Q31" i="1"/>
  <c r="Q32" i="1" s="1"/>
  <c r="I31" i="1"/>
  <c r="I32" i="1" s="1"/>
  <c r="H31" i="1"/>
  <c r="H32" i="1" s="1"/>
  <c r="S31" i="1"/>
  <c r="S32" i="1" s="1"/>
  <c r="K31" i="1"/>
  <c r="K32" i="1" s="1"/>
  <c r="J36" i="1"/>
  <c r="N36" i="1"/>
  <c r="J41" i="1"/>
  <c r="K63" i="1" s="1"/>
  <c r="N63" i="1" s="1"/>
  <c r="N39" i="1"/>
  <c r="J39" i="1"/>
  <c r="K61" i="1" s="1"/>
  <c r="N61" i="1" s="1"/>
  <c r="N41" i="1"/>
  <c r="J38" i="1"/>
  <c r="K60" i="1" s="1"/>
  <c r="N60" i="1" s="1"/>
  <c r="N40" i="1"/>
  <c r="J40" i="1"/>
  <c r="K62" i="1" s="1"/>
  <c r="N62" i="1" s="1"/>
  <c r="N38" i="1"/>
  <c r="N37" i="1"/>
  <c r="J37" i="1"/>
  <c r="K59" i="1" s="1"/>
  <c r="N59" i="1" s="1"/>
  <c r="N42" i="1"/>
  <c r="J42" i="1"/>
  <c r="K64" i="1" s="1"/>
  <c r="N64" i="1" s="1"/>
  <c r="J43" i="1"/>
  <c r="K65" i="1" s="1"/>
  <c r="N65" i="1" s="1"/>
  <c r="N43" i="1"/>
  <c r="J44" i="1"/>
  <c r="K66" i="1" s="1"/>
  <c r="N66" i="1" s="1"/>
  <c r="N44" i="1"/>
  <c r="J45" i="1"/>
  <c r="K67" i="1" s="1"/>
  <c r="N67" i="1" s="1"/>
  <c r="N45" i="1"/>
  <c r="J46" i="1"/>
  <c r="K68" i="1" s="1"/>
  <c r="N68" i="1" s="1"/>
  <c r="N46" i="1"/>
  <c r="N47" i="1"/>
  <c r="J47" i="1"/>
  <c r="K69" i="1" s="1"/>
  <c r="N69" i="1" s="1"/>
  <c r="J48" i="1"/>
  <c r="K70" i="1" s="1"/>
  <c r="N70" i="1" s="1"/>
  <c r="N48" i="1"/>
  <c r="N49" i="1"/>
  <c r="J49" i="1"/>
  <c r="K71" i="1" s="1"/>
  <c r="N71" i="1" s="1"/>
  <c r="J51" i="1"/>
  <c r="N51" i="1"/>
  <c r="J50" i="1"/>
  <c r="K72" i="1" s="1"/>
  <c r="N72" i="1" s="1"/>
  <c r="G51" i="1"/>
  <c r="K49" i="1" l="1"/>
  <c r="K45" i="1"/>
  <c r="K41" i="1"/>
  <c r="K37" i="1"/>
  <c r="K46" i="1"/>
  <c r="K42" i="1"/>
  <c r="K38" i="1"/>
  <c r="K51" i="1"/>
  <c r="K52" i="1" s="1"/>
  <c r="K47" i="1"/>
  <c r="K43" i="1"/>
  <c r="K39" i="1"/>
  <c r="J52" i="1"/>
  <c r="K50" i="1"/>
  <c r="K40" i="1"/>
  <c r="K36" i="1"/>
  <c r="K44" i="1"/>
  <c r="K48" i="1"/>
  <c r="K58" i="1"/>
  <c r="N52" i="1"/>
  <c r="G52" i="1"/>
  <c r="I50" i="1"/>
  <c r="I46" i="1"/>
  <c r="I42" i="1"/>
  <c r="I38" i="1"/>
  <c r="I47" i="1"/>
  <c r="I43" i="1"/>
  <c r="I39" i="1"/>
  <c r="I48" i="1"/>
  <c r="I44" i="1"/>
  <c r="I40" i="1"/>
  <c r="I36" i="1"/>
  <c r="I51" i="1"/>
  <c r="I49" i="1"/>
  <c r="I41" i="1"/>
  <c r="I45" i="1"/>
  <c r="J15" i="1" s="1"/>
  <c r="J16" i="1" s="1"/>
  <c r="I37" i="1"/>
  <c r="J58" i="1"/>
  <c r="J73" i="1" s="1"/>
  <c r="K73" i="1" l="1"/>
  <c r="N58" i="1"/>
  <c r="N73" i="1" s="1"/>
</calcChain>
</file>

<file path=xl/sharedStrings.xml><?xml version="1.0" encoding="utf-8"?>
<sst xmlns="http://schemas.openxmlformats.org/spreadsheetml/2006/main" count="109" uniqueCount="90">
  <si>
    <t xml:space="preserve">DCSEU - Solar for All </t>
  </si>
  <si>
    <t>Legend</t>
  </si>
  <si>
    <t>User Inputs</t>
  </si>
  <si>
    <t>Incentive Level</t>
  </si>
  <si>
    <t>[ $/W ]</t>
  </si>
  <si>
    <t>Proposed Terms</t>
  </si>
  <si>
    <t>Inputs</t>
  </si>
  <si>
    <t>Units</t>
  </si>
  <si>
    <t>Incentive Amount</t>
  </si>
  <si>
    <t>[ $ ]</t>
  </si>
  <si>
    <t>Assumptions*</t>
  </si>
  <si>
    <t>[ $/kWh ]</t>
  </si>
  <si>
    <t>Total capacity</t>
  </si>
  <si>
    <t>[ kW ]</t>
  </si>
  <si>
    <t>Calculation</t>
  </si>
  <si>
    <t>Capacity Factor</t>
  </si>
  <si>
    <t>[ % ]</t>
  </si>
  <si>
    <t>Output</t>
  </si>
  <si>
    <t>Default Payment Calculator</t>
  </si>
  <si>
    <t>MWh/MW</t>
  </si>
  <si>
    <t>[ # ]</t>
  </si>
  <si>
    <t>System Size (kW)</t>
  </si>
  <si>
    <t>Shortfall</t>
  </si>
  <si>
    <t>Projected Lifetime Output</t>
  </si>
  <si>
    <t>[ kWh ]</t>
  </si>
  <si>
    <t>Incentive Level ($/W)</t>
  </si>
  <si>
    <t>Default Year</t>
  </si>
  <si>
    <t>Output Years</t>
  </si>
  <si>
    <t>[ years ]</t>
  </si>
  <si>
    <t>Year 1 Output</t>
  </si>
  <si>
    <t xml:space="preserve"> [ kWh ]</t>
  </si>
  <si>
    <t>Incentive Amount ($)</t>
  </si>
  <si>
    <t>Total Installed Cost</t>
  </si>
  <si>
    <t>Percent of Output Lost (%)</t>
  </si>
  <si>
    <t>Cost per Watt</t>
  </si>
  <si>
    <t>Default Penalty ($)</t>
  </si>
  <si>
    <t>Panel Degredation Factor</t>
  </si>
  <si>
    <t>Generation</t>
  </si>
  <si>
    <t>Year</t>
  </si>
  <si>
    <t>Total</t>
  </si>
  <si>
    <t xml:space="preserve">PV Degredation </t>
  </si>
  <si>
    <t>[ %/year ]</t>
  </si>
  <si>
    <t xml:space="preserve"> [ $/kWh ]</t>
  </si>
  <si>
    <t>Output Value</t>
  </si>
  <si>
    <t>Projected Output (kWh)</t>
  </si>
  <si>
    <t>P(90) Output (kWh)</t>
  </si>
  <si>
    <t>Percent of Total Output</t>
  </si>
  <si>
    <t>Accumulated Percent</t>
  </si>
  <si>
    <t>Generation Value (incentive*%)</t>
  </si>
  <si>
    <t>Cumulative Value (incentive *%)</t>
  </si>
  <si>
    <t>Actual Output</t>
  </si>
  <si>
    <t>Performance Penalty</t>
  </si>
  <si>
    <t>90% of Output (kWh)</t>
  </si>
  <si>
    <t>Cumulative 90% of Output (kWh)</t>
  </si>
  <si>
    <t>Required Output level</t>
  </si>
  <si>
    <t>Output Level in default year(%)</t>
  </si>
  <si>
    <t>Performance Penalty Calculator</t>
  </si>
  <si>
    <t>Actual Output (to be entered as part of the annual "True-Up")</t>
  </si>
  <si>
    <t>Generation Value Calculator</t>
  </si>
  <si>
    <t>Generation Value</t>
  </si>
  <si>
    <t>Note</t>
  </si>
  <si>
    <t xml:space="preserve"> - Calculator assumes 100% generation in all years prior to shortfall year.
- This calculator should be used only to determine the specific penalty amount in any individual year.</t>
  </si>
  <si>
    <t>Pepco ATO Date</t>
  </si>
  <si>
    <t>Commerical Operation Date</t>
  </si>
  <si>
    <t>Contractor</t>
  </si>
  <si>
    <t>Calculated</t>
  </si>
  <si>
    <t>Year 1 Starting Month</t>
  </si>
  <si>
    <t>Year 1 Prorate %</t>
  </si>
  <si>
    <t>Year 21 Prorate %</t>
  </si>
  <si>
    <t>Jan</t>
  </si>
  <si>
    <t>Feb</t>
  </si>
  <si>
    <t>Mar</t>
  </si>
  <si>
    <t>Month</t>
  </si>
  <si>
    <t>Prorate %</t>
  </si>
  <si>
    <t>Cumulative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</si>
  <si>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</si>
  <si>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</si>
  <si>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</si>
  <si>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</si>
  <si>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</si>
  <si>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</si>
  <si>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</si>
  <si>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</si>
  <si>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</si>
  <si>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Cummulative Contracted Output</t>
  </si>
  <si>
    <t>Initial Projected Output</t>
  </si>
  <si>
    <t>Weather-Adjusted Minimum Production Requirement</t>
  </si>
  <si>
    <t>Weather-Adjusted Output (PVWatts and Actual Weather)</t>
  </si>
  <si>
    <t>Initial Projected Minimum Production Requirement</t>
  </si>
  <si>
    <t xml:space="preserve">Generation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</si>
</sst>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_([$$-409]* #,##0.00_);_([$$-409]* \(#,##0.00\);_([$$-409]* &quot;-&quot;??_);_(@_)"/>
    <numFmt numFmtId="168" formatCode="[$$-409]#,##0.00_);\([$$-409]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theme="0" tint="-0.34998626667073579"/>
      <name val="Arial"/>
      <family val="2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3" borderId="2" applyNumberFormat="0" applyAlignment="0" applyProtection="0"/>
    <xf numFmtId="0" fontId="6" fillId="4" borderId="4" applyNumberFormat="0" applyAlignment="0" applyProtection="0"/>
    <xf numFmtId="0" fontId="1" fillId="5" borderId="5" applyNumberFormat="0" applyFont="0" applyAlignment="0" applyProtection="0"/>
    <xf numFmtId="0" fontId="7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8" borderId="0" applyNumberFormat="0" applyBorder="0" applyAlignment="0" applyProtection="0"/>
    <xf numFmtId="0" fontId="16" fillId="0" borderId="0" applyNumberFormat="0"/>
  </cellStyleXfs>
  <cellXfs count="159">
    <xf numFmtId="0" fontId="0" fillId="0" borderId="0" xfId="0"/>
    <xf numFmtId="0" fontId="10" fillId="7" borderId="0" xfId="11" applyFont="1"/>
    <xf numFmtId="0" fontId="0" fillId="8" borderId="0" xfId="12" applyFont="1"/>
    <xf numFmtId="0" fontId="1" fillId="8" borderId="0" xfId="12"/>
    <xf numFmtId="0" fontId="0" fillId="0" borderId="0" xfId="0" applyFill="1" applyBorder="1"/>
    <xf numFmtId="0" fontId="11" fillId="0" borderId="0" xfId="7" applyFont="1" applyFill="1" applyBorder="1" applyAlignment="1">
      <alignment horizontal="center"/>
    </xf>
    <xf numFmtId="0" fontId="2" fillId="0" borderId="1" xfId="3"/>
    <xf numFmtId="0" fontId="6" fillId="0" borderId="0" xfId="10" applyFont="1" applyFill="1" applyBorder="1" applyAlignment="1">
      <alignment horizontal="center"/>
    </xf>
    <xf numFmtId="0" fontId="0" fillId="0" borderId="7" xfId="0" applyBorder="1"/>
    <xf numFmtId="0" fontId="12" fillId="0" borderId="7" xfId="9" applyFont="1" applyBorder="1" applyAlignment="1">
      <alignment horizontal="center"/>
    </xf>
    <xf numFmtId="0" fontId="0" fillId="0" borderId="0" xfId="0" quotePrefix="1" applyAlignment="1">
      <alignment horizontal="left"/>
    </xf>
    <xf numFmtId="0" fontId="7" fillId="0" borderId="10" xfId="9" applyBorder="1" applyAlignment="1">
      <alignment horizontal="left"/>
    </xf>
    <xf numFmtId="0" fontId="0" fillId="0" borderId="11" xfId="0" applyBorder="1"/>
    <xf numFmtId="0" fontId="12" fillId="0" borderId="11" xfId="9" applyFont="1" applyBorder="1" applyAlignment="1">
      <alignment horizontal="center"/>
    </xf>
    <xf numFmtId="0" fontId="0" fillId="0" borderId="10" xfId="0" applyBorder="1"/>
    <xf numFmtId="0" fontId="0" fillId="5" borderId="12" xfId="8" applyFont="1" applyBorder="1"/>
    <xf numFmtId="0" fontId="0" fillId="0" borderId="13" xfId="0" applyBorder="1"/>
    <xf numFmtId="0" fontId="12" fillId="0" borderId="13" xfId="9" applyFont="1" applyBorder="1" applyAlignment="1">
      <alignment horizontal="center"/>
    </xf>
    <xf numFmtId="0" fontId="0" fillId="0" borderId="8" xfId="0" applyBorder="1"/>
    <xf numFmtId="164" fontId="4" fillId="3" borderId="15" xfId="1" applyNumberFormat="1" applyFont="1" applyFill="1" applyBorder="1"/>
    <xf numFmtId="165" fontId="13" fillId="9" borderId="2" xfId="6" applyNumberFormat="1" applyFont="1" applyFill="1" applyAlignment="1">
      <alignment horizontal="left"/>
    </xf>
    <xf numFmtId="164" fontId="4" fillId="0" borderId="0" xfId="1" applyNumberFormat="1" applyFont="1" applyFill="1" applyBorder="1"/>
    <xf numFmtId="0" fontId="0" fillId="0" borderId="14" xfId="0" applyBorder="1"/>
    <xf numFmtId="0" fontId="0" fillId="0" borderId="0" xfId="8" applyFont="1" applyFill="1" applyBorder="1"/>
    <xf numFmtId="0" fontId="12" fillId="0" borderId="11" xfId="9" applyFont="1" applyFill="1" applyBorder="1" applyAlignment="1">
      <alignment horizontal="center"/>
    </xf>
    <xf numFmtId="0" fontId="14" fillId="0" borderId="11" xfId="0" applyFont="1" applyBorder="1"/>
    <xf numFmtId="164" fontId="4" fillId="3" borderId="18" xfId="1" applyNumberFormat="1" applyFont="1" applyFill="1" applyBorder="1"/>
    <xf numFmtId="0" fontId="3" fillId="0" borderId="0" xfId="4" applyFill="1" applyBorder="1"/>
    <xf numFmtId="0" fontId="8" fillId="0" borderId="16" xfId="0" applyFont="1" applyBorder="1"/>
    <xf numFmtId="43" fontId="4" fillId="3" borderId="15" xfId="5" applyNumberFormat="1" applyBorder="1"/>
    <xf numFmtId="43" fontId="4" fillId="0" borderId="0" xfId="5" applyNumberFormat="1" applyFill="1" applyBorder="1"/>
    <xf numFmtId="165" fontId="0" fillId="0" borderId="0" xfId="2" applyNumberFormat="1" applyFont="1" applyFill="1" applyBorder="1"/>
    <xf numFmtId="0" fontId="15" fillId="0" borderId="1" xfId="3" applyFont="1"/>
    <xf numFmtId="0" fontId="7" fillId="0" borderId="20" xfId="9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0" xfId="9" applyBorder="1" applyAlignment="1">
      <alignment horizontal="center"/>
    </xf>
    <xf numFmtId="0" fontId="12" fillId="0" borderId="0" xfId="9" applyFont="1" applyBorder="1" applyAlignment="1">
      <alignment horizontal="center"/>
    </xf>
    <xf numFmtId="2" fontId="16" fillId="0" borderId="0" xfId="13" applyNumberFormat="1"/>
    <xf numFmtId="2" fontId="16" fillId="0" borderId="11" xfId="13" applyNumberFormat="1" applyFill="1" applyBorder="1"/>
    <xf numFmtId="0" fontId="12" fillId="0" borderId="0" xfId="9" applyFont="1" applyFill="1" applyBorder="1" applyAlignment="1">
      <alignment horizontal="center"/>
    </xf>
    <xf numFmtId="41" fontId="0" fillId="0" borderId="0" xfId="0" applyNumberFormat="1"/>
    <xf numFmtId="41" fontId="0" fillId="0" borderId="11" xfId="0" applyNumberFormat="1" applyFill="1" applyBorder="1"/>
    <xf numFmtId="164" fontId="8" fillId="0" borderId="11" xfId="1" applyNumberFormat="1" applyFont="1" applyBorder="1"/>
    <xf numFmtId="0" fontId="0" fillId="0" borderId="27" xfId="0" applyBorder="1"/>
    <xf numFmtId="0" fontId="8" fillId="0" borderId="0" xfId="0" applyFont="1" applyFill="1" applyBorder="1" applyAlignment="1">
      <alignment vertical="center" wrapText="1"/>
    </xf>
    <xf numFmtId="41" fontId="0" fillId="0" borderId="10" xfId="0" applyNumberForma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165" fontId="0" fillId="0" borderId="10" xfId="2" applyNumberFormat="1" applyFont="1" applyBorder="1" applyAlignment="1">
      <alignment vertical="center" wrapText="1"/>
    </xf>
    <xf numFmtId="167" fontId="0" fillId="0" borderId="0" xfId="1" applyNumberFormat="1" applyFont="1"/>
    <xf numFmtId="9" fontId="0" fillId="0" borderId="0" xfId="2" applyFont="1"/>
    <xf numFmtId="167" fontId="0" fillId="0" borderId="0" xfId="0" applyNumberFormat="1"/>
    <xf numFmtId="0" fontId="8" fillId="0" borderId="29" xfId="0" applyFont="1" applyBorder="1" applyAlignment="1">
      <alignment vertical="center" wrapText="1"/>
    </xf>
    <xf numFmtId="41" fontId="8" fillId="0" borderId="30" xfId="0" applyNumberFormat="1" applyFont="1" applyBorder="1" applyAlignment="1">
      <alignment vertical="center" wrapText="1"/>
    </xf>
    <xf numFmtId="0" fontId="6" fillId="4" borderId="31" xfId="7" applyBorder="1" applyAlignment="1">
      <alignment horizontal="center" vertical="center" wrapText="1"/>
    </xf>
    <xf numFmtId="167" fontId="8" fillId="0" borderId="28" xfId="0" applyNumberFormat="1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164" fontId="0" fillId="0" borderId="10" xfId="1" applyNumberFormat="1" applyFont="1" applyBorder="1" applyAlignment="1">
      <alignment vertical="center" wrapText="1"/>
    </xf>
    <xf numFmtId="164" fontId="8" fillId="0" borderId="26" xfId="1" applyNumberFormat="1" applyFont="1" applyBorder="1" applyAlignment="1">
      <alignment vertical="center" wrapText="1"/>
    </xf>
    <xf numFmtId="9" fontId="4" fillId="0" borderId="0" xfId="2" applyFont="1" applyFill="1" applyBorder="1"/>
    <xf numFmtId="3" fontId="13" fillId="9" borderId="17" xfId="6" applyNumberFormat="1" applyFont="1" applyFill="1" applyBorder="1" applyAlignment="1">
      <alignment horizontal="right"/>
    </xf>
    <xf numFmtId="3" fontId="13" fillId="0" borderId="0" xfId="6" applyNumberFormat="1" applyFont="1" applyFill="1" applyBorder="1" applyAlignment="1">
      <alignment horizontal="right"/>
    </xf>
    <xf numFmtId="9" fontId="4" fillId="0" borderId="11" xfId="2" applyFont="1" applyFill="1" applyBorder="1"/>
    <xf numFmtId="3" fontId="13" fillId="0" borderId="11" xfId="6" applyNumberFormat="1" applyFont="1" applyFill="1" applyBorder="1" applyAlignment="1">
      <alignment horizontal="right"/>
    </xf>
    <xf numFmtId="0" fontId="6" fillId="0" borderId="0" xfId="10" applyFont="1" applyFill="1" applyBorder="1"/>
    <xf numFmtId="0" fontId="8" fillId="0" borderId="0" xfId="0" applyFont="1" applyFill="1" applyBorder="1" applyAlignment="1">
      <alignment horizontal="center"/>
    </xf>
    <xf numFmtId="165" fontId="3" fillId="0" borderId="0" xfId="2" applyNumberFormat="1" applyFont="1" applyFill="1" applyBorder="1"/>
    <xf numFmtId="9" fontId="3" fillId="0" borderId="0" xfId="2" applyFont="1" applyFill="1" applyBorder="1"/>
    <xf numFmtId="164" fontId="3" fillId="0" borderId="0" xfId="1" applyNumberFormat="1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43" fontId="3" fillId="0" borderId="0" xfId="1" applyFont="1" applyFill="1" applyBorder="1"/>
    <xf numFmtId="165" fontId="4" fillId="3" borderId="3" xfId="5" applyNumberFormat="1" applyAlignment="1">
      <alignment vertical="center" wrapText="1"/>
    </xf>
    <xf numFmtId="43" fontId="0" fillId="0" borderId="0" xfId="0" applyNumberFormat="1"/>
    <xf numFmtId="43" fontId="0" fillId="0" borderId="0" xfId="1" applyFont="1"/>
    <xf numFmtId="165" fontId="4" fillId="3" borderId="32" xfId="2" applyNumberFormat="1" applyFont="1" applyFill="1" applyBorder="1"/>
    <xf numFmtId="167" fontId="0" fillId="0" borderId="0" xfId="0" applyNumberFormat="1" applyBorder="1"/>
    <xf numFmtId="167" fontId="8" fillId="0" borderId="30" xfId="0" applyNumberFormat="1" applyFont="1" applyBorder="1" applyAlignment="1">
      <alignment vertical="center" wrapText="1"/>
    </xf>
    <xf numFmtId="164" fontId="0" fillId="5" borderId="35" xfId="1" applyNumberFormat="1" applyFont="1" applyFill="1" applyBorder="1"/>
    <xf numFmtId="43" fontId="0" fillId="5" borderId="19" xfId="1" applyFont="1" applyFill="1" applyBorder="1"/>
    <xf numFmtId="164" fontId="4" fillId="3" borderId="3" xfId="1" applyNumberFormat="1" applyFont="1" applyFill="1" applyBorder="1"/>
    <xf numFmtId="166" fontId="4" fillId="3" borderId="3" xfId="1" applyNumberFormat="1" applyFont="1" applyFill="1" applyBorder="1"/>
    <xf numFmtId="164" fontId="3" fillId="2" borderId="6" xfId="1" applyNumberFormat="1" applyFont="1" applyFill="1" applyBorder="1" applyProtection="1">
      <protection locked="0"/>
    </xf>
    <xf numFmtId="0" fontId="3" fillId="2" borderId="6" xfId="4" applyBorder="1" applyProtection="1">
      <protection locked="0"/>
    </xf>
    <xf numFmtId="165" fontId="3" fillId="2" borderId="6" xfId="2" applyNumberFormat="1" applyFont="1" applyFill="1" applyBorder="1" applyProtection="1">
      <protection locked="0"/>
    </xf>
    <xf numFmtId="43" fontId="3" fillId="2" borderId="6" xfId="1" applyFont="1" applyFill="1" applyBorder="1" applyProtection="1">
      <protection locked="0"/>
    </xf>
    <xf numFmtId="9" fontId="0" fillId="5" borderId="12" xfId="2" applyFont="1" applyFill="1" applyBorder="1"/>
    <xf numFmtId="165" fontId="3" fillId="2" borderId="14" xfId="2" applyNumberFormat="1" applyFont="1" applyFill="1" applyBorder="1" applyProtection="1">
      <protection locked="0"/>
    </xf>
    <xf numFmtId="164" fontId="3" fillId="2" borderId="2" xfId="4" applyNumberFormat="1" applyBorder="1" applyAlignment="1" applyProtection="1">
      <alignment vertical="center" wrapText="1"/>
      <protection locked="0"/>
    </xf>
    <xf numFmtId="0" fontId="6" fillId="6" borderId="9" xfId="10" quotePrefix="1" applyFont="1" applyBorder="1" applyAlignment="1">
      <alignment horizontal="center"/>
    </xf>
    <xf numFmtId="0" fontId="6" fillId="6" borderId="20" xfId="10" applyFont="1" applyBorder="1"/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0" xfId="0" quotePrefix="1" applyBorder="1" applyAlignment="1">
      <alignment horizontal="center" wrapText="1"/>
    </xf>
    <xf numFmtId="0" fontId="17" fillId="0" borderId="0" xfId="0" applyFont="1"/>
    <xf numFmtId="168" fontId="0" fillId="0" borderId="10" xfId="1" applyNumberFormat="1" applyFont="1" applyBorder="1" applyAlignment="1">
      <alignment vertical="center" wrapText="1"/>
    </xf>
    <xf numFmtId="168" fontId="8" fillId="0" borderId="28" xfId="1" applyNumberFormat="1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10" fontId="8" fillId="0" borderId="30" xfId="0" applyNumberFormat="1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/>
    <xf numFmtId="0" fontId="0" fillId="0" borderId="10" xfId="0" applyFill="1" applyBorder="1"/>
    <xf numFmtId="0" fontId="4" fillId="10" borderId="3" xfId="5" applyFill="1"/>
    <xf numFmtId="0" fontId="0" fillId="0" borderId="8" xfId="0" applyFill="1" applyBorder="1"/>
    <xf numFmtId="0" fontId="0" fillId="0" borderId="14" xfId="0" applyFill="1" applyBorder="1"/>
    <xf numFmtId="0" fontId="12" fillId="0" borderId="8" xfId="9" applyFont="1" applyBorder="1" applyAlignment="1">
      <alignment horizontal="center"/>
    </xf>
    <xf numFmtId="0" fontId="12" fillId="0" borderId="10" xfId="9" applyFont="1" applyBorder="1" applyAlignment="1">
      <alignment horizontal="center"/>
    </xf>
    <xf numFmtId="0" fontId="12" fillId="0" borderId="14" xfId="9" applyFont="1" applyBorder="1" applyAlignment="1">
      <alignment horizontal="center"/>
    </xf>
    <xf numFmtId="165" fontId="3" fillId="10" borderId="16" xfId="2" applyNumberFormat="1" applyFont="1" applyFill="1" applyBorder="1" applyProtection="1">
      <protection locked="0"/>
    </xf>
    <xf numFmtId="14" fontId="3" fillId="2" borderId="16" xfId="2" applyNumberFormat="1" applyFont="1" applyFill="1" applyBorder="1" applyProtection="1">
      <protection locked="0"/>
    </xf>
    <xf numFmtId="14" fontId="3" fillId="10" borderId="16" xfId="2" applyNumberFormat="1" applyFont="1" applyFill="1" applyBorder="1" applyProtection="1">
      <protection locked="0"/>
    </xf>
    <xf numFmtId="14" fontId="3" fillId="10" borderId="16" xfId="2" applyNumberFormat="1" applyFont="1" applyFill="1" applyBorder="1" applyAlignment="1" applyProtection="1">
      <alignment horizontal="right"/>
      <protection locked="0"/>
    </xf>
    <xf numFmtId="43" fontId="13" fillId="0" borderId="0" xfId="1" applyFont="1" applyFill="1" applyBorder="1" applyAlignment="1">
      <alignment horizontal="right"/>
    </xf>
    <xf numFmtId="9" fontId="0" fillId="0" borderId="0" xfId="0" applyNumberFormat="1"/>
    <xf numFmtId="0" fontId="0" fillId="0" borderId="37" xfId="0" applyBorder="1"/>
    <xf numFmtId="165" fontId="3" fillId="10" borderId="10" xfId="2" applyNumberFormat="1" applyFont="1" applyFill="1" applyBorder="1" applyProtection="1">
      <protection locked="0"/>
    </xf>
    <xf numFmtId="0" fontId="3" fillId="11" borderId="6" xfId="4" applyFill="1" applyBorder="1"/>
    <xf numFmtId="43" fontId="4" fillId="11" borderId="15" xfId="1" applyFont="1" applyFill="1" applyBorder="1"/>
    <xf numFmtId="0" fontId="12" fillId="11" borderId="0" xfId="9" applyFont="1" applyFill="1" applyBorder="1" applyAlignment="1">
      <alignment horizontal="center"/>
    </xf>
    <xf numFmtId="0" fontId="0" fillId="11" borderId="37" xfId="0" applyFill="1" applyBorder="1"/>
    <xf numFmtId="164" fontId="0" fillId="11" borderId="0" xfId="1" applyNumberFormat="1" applyFont="1" applyFill="1"/>
    <xf numFmtId="164" fontId="0" fillId="11" borderId="37" xfId="1" applyNumberFormat="1" applyFont="1" applyFill="1" applyBorder="1"/>
    <xf numFmtId="41" fontId="0" fillId="0" borderId="0" xfId="0" applyNumberFormat="1" applyFill="1" applyBorder="1"/>
    <xf numFmtId="0" fontId="4" fillId="3" borderId="41" xfId="5" applyBorder="1" applyAlignment="1">
      <alignment horizontal="left"/>
    </xf>
    <xf numFmtId="0" fontId="4" fillId="10" borderId="16" xfId="5" applyFill="1" applyBorder="1" applyAlignment="1">
      <alignment horizontal="left"/>
    </xf>
    <xf numFmtId="0" fontId="12" fillId="10" borderId="0" xfId="9" applyFont="1" applyFill="1" applyBorder="1" applyAlignment="1">
      <alignment horizontal="center"/>
    </xf>
    <xf numFmtId="41" fontId="0" fillId="10" borderId="0" xfId="0" applyNumberFormat="1" applyFill="1"/>
    <xf numFmtId="41" fontId="0" fillId="10" borderId="37" xfId="0" applyNumberFormat="1" applyFill="1" applyBorder="1"/>
    <xf numFmtId="164" fontId="0" fillId="10" borderId="0" xfId="0" applyNumberFormat="1" applyFill="1"/>
    <xf numFmtId="166" fontId="0" fillId="10" borderId="22" xfId="1" applyNumberFormat="1" applyFont="1" applyFill="1" applyBorder="1"/>
    <xf numFmtId="166" fontId="0" fillId="10" borderId="23" xfId="1" applyNumberFormat="1" applyFont="1" applyFill="1" applyBorder="1"/>
    <xf numFmtId="166" fontId="0" fillId="10" borderId="24" xfId="1" applyNumberFormat="1" applyFont="1" applyFill="1" applyBorder="1"/>
    <xf numFmtId="164" fontId="8" fillId="10" borderId="0" xfId="1" applyNumberFormat="1" applyFont="1" applyFill="1"/>
    <xf numFmtId="0" fontId="0" fillId="10" borderId="33" xfId="0" applyFill="1" applyBorder="1" applyAlignment="1">
      <alignment vertical="center" wrapText="1"/>
    </xf>
    <xf numFmtId="41" fontId="0" fillId="10" borderId="10" xfId="0" applyNumberFormat="1" applyFill="1" applyBorder="1" applyAlignment="1">
      <alignment vertical="center" wrapText="1"/>
    </xf>
    <xf numFmtId="164" fontId="0" fillId="10" borderId="10" xfId="0" applyNumberFormat="1" applyFill="1" applyBorder="1" applyAlignment="1">
      <alignment vertical="center" wrapText="1"/>
    </xf>
    <xf numFmtId="10" fontId="0" fillId="10" borderId="10" xfId="2" applyNumberFormat="1" applyFont="1" applyFill="1" applyBorder="1" applyAlignment="1">
      <alignment vertical="center" wrapText="1"/>
    </xf>
    <xf numFmtId="10" fontId="0" fillId="10" borderId="0" xfId="0" applyNumberFormat="1" applyFill="1" applyBorder="1"/>
    <xf numFmtId="167" fontId="0" fillId="10" borderId="10" xfId="0" applyNumberFormat="1" applyFill="1" applyBorder="1" applyAlignment="1">
      <alignment vertical="center" wrapText="1"/>
    </xf>
    <xf numFmtId="167" fontId="0" fillId="10" borderId="10" xfId="0" applyNumberFormat="1" applyFill="1" applyBorder="1"/>
    <xf numFmtId="10" fontId="0" fillId="10" borderId="10" xfId="0" applyNumberFormat="1" applyFill="1" applyBorder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3" fillId="0" borderId="0" xfId="4" applyFill="1" applyBorder="1" applyProtection="1">
      <protection locked="0"/>
    </xf>
    <xf numFmtId="165" fontId="3" fillId="0" borderId="0" xfId="2" applyNumberFormat="1" applyFont="1" applyFill="1" applyBorder="1" applyProtection="1">
      <protection locked="0"/>
    </xf>
    <xf numFmtId="44" fontId="13" fillId="9" borderId="34" xfId="6" applyNumberFormat="1" applyFont="1" applyFill="1" applyBorder="1" applyAlignment="1">
      <alignment horizontal="right"/>
    </xf>
    <xf numFmtId="0" fontId="0" fillId="0" borderId="16" xfId="0" applyFill="1" applyBorder="1" applyAlignment="1">
      <alignment wrapText="1"/>
    </xf>
    <xf numFmtId="0" fontId="6" fillId="6" borderId="20" xfId="10" applyFont="1" applyBorder="1" applyAlignment="1">
      <alignment horizontal="center"/>
    </xf>
    <xf numFmtId="0" fontId="0" fillId="0" borderId="7" xfId="0" quotePrefix="1" applyBorder="1" applyAlignment="1">
      <alignment horizontal="left" wrapText="1" indent="1"/>
    </xf>
    <xf numFmtId="0" fontId="0" fillId="0" borderId="38" xfId="0" quotePrefix="1" applyBorder="1" applyAlignment="1">
      <alignment horizontal="left" wrapText="1" indent="1"/>
    </xf>
    <xf numFmtId="0" fontId="0" fillId="0" borderId="36" xfId="0" quotePrefix="1" applyBorder="1" applyAlignment="1">
      <alignment horizontal="left" wrapText="1" indent="1"/>
    </xf>
    <xf numFmtId="0" fontId="0" fillId="0" borderId="11" xfId="0" quotePrefix="1" applyBorder="1" applyAlignment="1">
      <alignment horizontal="left" wrapText="1" indent="1"/>
    </xf>
    <xf numFmtId="0" fontId="0" fillId="0" borderId="0" xfId="0" quotePrefix="1" applyBorder="1" applyAlignment="1">
      <alignment horizontal="left" wrapText="1" indent="1"/>
    </xf>
    <xf numFmtId="0" fontId="0" fillId="0" borderId="37" xfId="0" quotePrefix="1" applyBorder="1" applyAlignment="1">
      <alignment horizontal="left" wrapText="1" indent="1"/>
    </xf>
    <xf numFmtId="0" fontId="0" fillId="0" borderId="13" xfId="0" quotePrefix="1" applyBorder="1" applyAlignment="1">
      <alignment horizontal="left" wrapText="1" indent="1"/>
    </xf>
    <xf numFmtId="0" fontId="0" fillId="0" borderId="39" xfId="0" quotePrefix="1" applyBorder="1" applyAlignment="1">
      <alignment horizontal="left" wrapText="1" indent="1"/>
    </xf>
    <xf numFmtId="0" fontId="0" fillId="0" borderId="40" xfId="0" quotePrefix="1" applyBorder="1" applyAlignment="1">
      <alignment horizontal="left" wrapText="1" indent="1"/>
    </xf>
  </cellXfs>
  <cellStyles count="14">
    <cellStyle name="60% - Accent6" xfId="12" builtinId="52"/>
    <cellStyle name="Accent1" xfId="10" builtinId="29"/>
    <cellStyle name="Accent5" xfId="11" builtinId="45"/>
    <cellStyle name="Calculation" xfId="6" builtinId="22"/>
    <cellStyle name="Check Cell" xfId="7" builtinId="23"/>
    <cellStyle name="Comma" xfId="1" builtinId="3"/>
    <cellStyle name="Explanatory Text" xfId="9" builtinId="53"/>
    <cellStyle name="Heading 1" xfId="3" builtinId="16"/>
    <cellStyle name="Info" xfId="13" xr:uid="{00000000-0005-0000-0000-000008000000}"/>
    <cellStyle name="Input" xfId="4" builtinId="20"/>
    <cellStyle name="Normal" xfId="0" builtinId="0"/>
    <cellStyle name="Note" xfId="8" builtinId="10"/>
    <cellStyle name="Output" xfId="5" builtinId="21"/>
    <cellStyle name="Percent" xfId="2" builtinId="5"/>
  </cellStyles>
  <dxfs count="0"/>
  <tableStyles count="0" defaultTableStyle="TableStyleMedium2" defaultPivotStyle="PivotStyleLight16"/>
  <colors>
    <mruColors>
      <color rgb="FFF2F2F2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perations%20&amp;%20Implementation\PMO\Solar\REDF%20-%20Solar%20for%20All\Solicitations\CREF\Analysis\Project%20Analysis%20Worksheet%20-%20Greensca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ortfolio"/>
      <sheetName val="Project List"/>
      <sheetName val="Site Review"/>
    </sheetNames>
    <sheetDataSet>
      <sheetData sheetId="0">
        <row r="2">
          <cell r="C2" t="str">
            <v>Proposal Worksheet - Greenscape</v>
          </cell>
        </row>
        <row r="10">
          <cell r="E10">
            <v>1048.6367721961401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6"/>
  <sheetViews>
    <sheetView tabSelected="1" zoomScale="50" zoomScaleNormal="50" workbookViewId="0">
      <selection activeCell="P41" sqref="P41"/>
    </sheetView>
  </sheetViews>
  <sheetFormatPr defaultColWidth="0" defaultRowHeight="14.4" zeroHeight="1" outlineLevelRow="1" x14ac:dyDescent="0.3"/>
  <cols>
    <col min="1" max="2" width="1.5546875" customWidth="1"/>
    <col min="3" max="3" width="55.109375" bestFit="1" customWidth="1"/>
    <col min="4" max="4" width="10.6640625" bestFit="1" customWidth="1"/>
    <col min="5" max="5" width="13.5546875" customWidth="1"/>
    <col min="6" max="6" width="11.88671875" bestFit="1" customWidth="1"/>
    <col min="7" max="7" width="14.6640625" customWidth="1"/>
    <col min="8" max="8" width="11.6640625" customWidth="1"/>
    <col min="9" max="9" width="23" customWidth="1"/>
    <col min="10" max="10" width="12.33203125" bestFit="1" customWidth="1"/>
    <col min="11" max="11" width="13.5546875" bestFit="1" customWidth="1"/>
    <col min="12" max="12" width="29.44140625" bestFit="1" customWidth="1"/>
    <col min="13" max="13" width="14" bestFit="1" customWidth="1"/>
    <col min="14" max="14" width="12.44140625" customWidth="1"/>
    <col min="15" max="15" width="17.5546875" bestFit="1" customWidth="1"/>
    <col min="16" max="16" width="18.33203125" bestFit="1" customWidth="1"/>
    <col min="17" max="18" width="12.109375" bestFit="1" customWidth="1"/>
    <col min="19" max="19" width="12.5546875" bestFit="1" customWidth="1"/>
    <col min="20" max="20" width="12.5546875" customWidth="1"/>
    <col min="21" max="23" width="13.109375" bestFit="1" customWidth="1"/>
    <col min="24" max="24" width="9.33203125" bestFit="1" customWidth="1"/>
    <col min="25" max="27" width="8.6640625" customWidth="1"/>
    <col min="28" max="32" width="0" hidden="1" customWidth="1"/>
    <col min="33" max="16384" width="8.6640625" hidden="1"/>
  </cols>
  <sheetData>
    <row r="1" spans="3:24" s="1" customFormat="1" ht="18" x14ac:dyDescent="0.35">
      <c r="C1" s="1" t="s">
        <v>0</v>
      </c>
    </row>
    <row r="2" spans="3:24" s="3" customFormat="1" x14ac:dyDescent="0.3">
      <c r="C2" s="2"/>
    </row>
    <row r="3" spans="3:24" ht="20.399999999999999" thickBot="1" x14ac:dyDescent="0.45">
      <c r="E3" s="4"/>
      <c r="F3" s="5"/>
      <c r="G3" s="6" t="s">
        <v>1</v>
      </c>
    </row>
    <row r="4" spans="3:24" ht="15.6" thickTop="1" thickBot="1" x14ac:dyDescent="0.35">
      <c r="E4" s="7"/>
      <c r="F4" s="7"/>
      <c r="G4" s="118" t="s">
        <v>2</v>
      </c>
      <c r="I4" s="90" t="s">
        <v>58</v>
      </c>
      <c r="P4" s="10"/>
      <c r="Q4" s="10"/>
      <c r="R4" s="10"/>
      <c r="S4" s="10"/>
      <c r="T4" s="10"/>
      <c r="U4" s="10"/>
      <c r="V4" s="10"/>
    </row>
    <row r="5" spans="3:24" ht="20.100000000000001" customHeight="1" thickBot="1" x14ac:dyDescent="0.45">
      <c r="C5" s="6" t="s">
        <v>5</v>
      </c>
      <c r="E5" s="89" t="s">
        <v>6</v>
      </c>
      <c r="G5" s="11" t="s">
        <v>7</v>
      </c>
      <c r="I5" s="8" t="s">
        <v>3</v>
      </c>
      <c r="J5" s="9" t="s">
        <v>4</v>
      </c>
      <c r="K5" s="85">
        <v>1.25</v>
      </c>
    </row>
    <row r="6" spans="3:24" ht="15" thickTop="1" x14ac:dyDescent="0.3">
      <c r="E6" s="14"/>
      <c r="G6" s="15" t="s">
        <v>10</v>
      </c>
      <c r="I6" s="12" t="s">
        <v>8</v>
      </c>
      <c r="J6" s="13" t="s">
        <v>9</v>
      </c>
      <c r="K6" s="80">
        <f>K5*E7*1000</f>
        <v>125000</v>
      </c>
    </row>
    <row r="7" spans="3:24" x14ac:dyDescent="0.3">
      <c r="C7" s="18" t="s">
        <v>12</v>
      </c>
      <c r="D7" s="9" t="s">
        <v>13</v>
      </c>
      <c r="E7" s="82">
        <v>100</v>
      </c>
      <c r="G7" s="104" t="s">
        <v>14</v>
      </c>
      <c r="I7" s="16" t="s">
        <v>59</v>
      </c>
      <c r="J7" s="17" t="s">
        <v>11</v>
      </c>
      <c r="K7" s="81">
        <f>K6/U27</f>
        <v>8.3398639984753886E-2</v>
      </c>
    </row>
    <row r="8" spans="3:24" x14ac:dyDescent="0.3">
      <c r="C8" s="14" t="s">
        <v>15</v>
      </c>
      <c r="D8" s="13" t="s">
        <v>16</v>
      </c>
      <c r="E8" s="117">
        <f>MWh_per_kW/Hrs_Yr</f>
        <v>0.13698630136986301</v>
      </c>
      <c r="G8" s="20" t="s">
        <v>17</v>
      </c>
      <c r="L8" s="4"/>
      <c r="M8" s="4"/>
      <c r="N8" s="4"/>
      <c r="P8" s="64"/>
      <c r="Q8" s="65"/>
      <c r="R8" s="4"/>
      <c r="S8" s="4"/>
      <c r="T8" s="4"/>
      <c r="U8" s="4"/>
      <c r="V8" s="4"/>
      <c r="W8" s="4"/>
      <c r="X8" s="4"/>
    </row>
    <row r="9" spans="3:24" ht="15" thickBot="1" x14ac:dyDescent="0.35">
      <c r="C9" s="14" t="s">
        <v>19</v>
      </c>
      <c r="D9" s="13" t="s">
        <v>20</v>
      </c>
      <c r="E9" s="119">
        <v>1200</v>
      </c>
      <c r="G9" s="21"/>
      <c r="I9" s="90" t="s">
        <v>18</v>
      </c>
      <c r="L9" s="64"/>
      <c r="M9" s="4"/>
      <c r="N9" s="4"/>
      <c r="P9" s="4"/>
      <c r="Q9" s="66"/>
      <c r="R9" s="66"/>
      <c r="S9" s="67"/>
      <c r="T9" s="67"/>
      <c r="U9" s="67"/>
      <c r="V9" s="67"/>
      <c r="W9" s="67"/>
      <c r="X9" s="67"/>
    </row>
    <row r="10" spans="3:24" x14ac:dyDescent="0.3">
      <c r="C10" s="14" t="s">
        <v>23</v>
      </c>
      <c r="D10" s="13" t="s">
        <v>24</v>
      </c>
      <c r="E10" s="19">
        <f>E13*E12</f>
        <v>1800000</v>
      </c>
      <c r="G10" s="21"/>
      <c r="I10" s="12" t="s">
        <v>21</v>
      </c>
      <c r="J10" s="78">
        <f>E7</f>
        <v>100</v>
      </c>
      <c r="L10" s="4"/>
      <c r="M10" s="143"/>
      <c r="N10" s="4"/>
      <c r="P10" s="4"/>
      <c r="Q10" s="68"/>
      <c r="R10" s="68"/>
      <c r="S10" s="68"/>
      <c r="T10" s="68"/>
      <c r="U10" s="68"/>
      <c r="V10" s="68"/>
      <c r="W10" s="68"/>
      <c r="X10" s="68"/>
    </row>
    <row r="11" spans="3:24" x14ac:dyDescent="0.3">
      <c r="C11" s="14" t="s">
        <v>54</v>
      </c>
      <c r="D11" s="13" t="s">
        <v>16</v>
      </c>
      <c r="E11" s="86">
        <v>0.9</v>
      </c>
      <c r="G11" s="21"/>
      <c r="I11" s="12" t="s">
        <v>25</v>
      </c>
      <c r="J11" s="79">
        <f>K5</f>
        <v>1.25</v>
      </c>
      <c r="L11" s="4"/>
      <c r="M11" s="144"/>
      <c r="N11" s="4"/>
      <c r="P11" s="4"/>
      <c r="Q11" s="68"/>
      <c r="R11" s="68"/>
      <c r="S11" s="68"/>
      <c r="T11" s="68"/>
      <c r="U11" s="68"/>
      <c r="V11" s="68"/>
      <c r="W11" s="68"/>
      <c r="X11" s="68"/>
    </row>
    <row r="12" spans="3:24" x14ac:dyDescent="0.3">
      <c r="C12" s="14" t="s">
        <v>27</v>
      </c>
      <c r="D12" s="13" t="s">
        <v>28</v>
      </c>
      <c r="E12" s="82">
        <v>15</v>
      </c>
      <c r="G12" s="23"/>
      <c r="I12" s="22" t="s">
        <v>26</v>
      </c>
      <c r="J12" s="83">
        <v>10</v>
      </c>
      <c r="L12" s="4"/>
      <c r="M12" s="145"/>
      <c r="N12" s="4"/>
      <c r="P12" s="69"/>
      <c r="Q12" s="68"/>
      <c r="R12" s="68"/>
      <c r="S12" s="68"/>
      <c r="T12" s="68"/>
      <c r="U12" s="68"/>
      <c r="V12" s="68"/>
      <c r="W12" s="68"/>
      <c r="X12" s="68"/>
    </row>
    <row r="13" spans="3:24" ht="28.8" x14ac:dyDescent="0.3">
      <c r="C13" s="14" t="s">
        <v>29</v>
      </c>
      <c r="D13" s="24" t="s">
        <v>30</v>
      </c>
      <c r="E13" s="19">
        <f>E7*MWh_per_kW</f>
        <v>120000</v>
      </c>
      <c r="G13" s="21"/>
      <c r="I13" s="148" t="s">
        <v>55</v>
      </c>
      <c r="J13" s="84">
        <v>0</v>
      </c>
      <c r="L13" s="4"/>
      <c r="M13" s="146"/>
      <c r="N13" s="4"/>
      <c r="P13" s="4"/>
      <c r="Q13" s="4"/>
      <c r="R13" s="4"/>
      <c r="S13" s="4"/>
      <c r="T13" s="4"/>
      <c r="U13" s="4"/>
      <c r="V13" s="4"/>
      <c r="W13" s="4"/>
      <c r="X13" s="4"/>
    </row>
    <row r="14" spans="3:24" x14ac:dyDescent="0.3">
      <c r="C14" s="14" t="s">
        <v>32</v>
      </c>
      <c r="D14" s="13" t="s">
        <v>9</v>
      </c>
      <c r="E14" s="82"/>
      <c r="G14" s="27"/>
      <c r="I14" s="25" t="s">
        <v>31</v>
      </c>
      <c r="J14" s="26">
        <f>J11*J10*1000</f>
        <v>125000</v>
      </c>
      <c r="L14" s="69"/>
      <c r="M14" s="21"/>
      <c r="N14" s="59"/>
      <c r="P14" s="70"/>
      <c r="Q14" s="61"/>
      <c r="R14" s="61"/>
      <c r="S14" s="61"/>
      <c r="T14" s="61"/>
      <c r="U14" s="61"/>
      <c r="V14" s="61"/>
      <c r="W14" s="61"/>
      <c r="X14" s="61"/>
    </row>
    <row r="15" spans="3:24" x14ac:dyDescent="0.3">
      <c r="C15" s="14" t="s">
        <v>34</v>
      </c>
      <c r="D15" s="13" t="s">
        <v>4</v>
      </c>
      <c r="E15" s="29">
        <f>E14/E7/1000</f>
        <v>0</v>
      </c>
      <c r="G15" s="30"/>
      <c r="I15" s="25" t="s">
        <v>33</v>
      </c>
      <c r="J15" s="75">
        <f>1-VLOOKUP(J12,D36:I51,6)+(VLOOKUP(J12,D36:J51,4)*J13)</f>
        <v>0.3708182491359221</v>
      </c>
      <c r="K15" s="62"/>
      <c r="L15" s="69"/>
      <c r="M15" s="59"/>
      <c r="N15" s="61"/>
      <c r="P15" s="69"/>
      <c r="Q15" s="71"/>
      <c r="R15" s="71"/>
      <c r="S15" s="71"/>
      <c r="T15" s="71"/>
      <c r="U15" s="71"/>
      <c r="V15" s="71"/>
      <c r="W15" s="71"/>
      <c r="X15" s="71"/>
    </row>
    <row r="16" spans="3:24" x14ac:dyDescent="0.3">
      <c r="C16" s="22" t="s">
        <v>36</v>
      </c>
      <c r="D16" s="17" t="s">
        <v>16</v>
      </c>
      <c r="E16" s="87">
        <v>0.01</v>
      </c>
      <c r="F16" s="12"/>
      <c r="G16" s="31"/>
      <c r="I16" s="28" t="s">
        <v>35</v>
      </c>
      <c r="J16" s="60">
        <f>(J14*J15)</f>
        <v>46352.281141990265</v>
      </c>
      <c r="K16" s="63"/>
      <c r="L16" s="70"/>
      <c r="M16" s="114"/>
      <c r="N16" s="4"/>
    </row>
    <row r="17" spans="3:21" x14ac:dyDescent="0.3">
      <c r="C17" s="105" t="s">
        <v>62</v>
      </c>
      <c r="D17" s="107"/>
      <c r="E17" s="111">
        <v>44439</v>
      </c>
      <c r="F17" s="101"/>
      <c r="G17" s="31"/>
      <c r="I17" s="102"/>
      <c r="J17" s="61"/>
      <c r="K17" s="61"/>
      <c r="L17" s="70"/>
      <c r="M17" s="114"/>
      <c r="N17" s="4"/>
    </row>
    <row r="18" spans="3:21" x14ac:dyDescent="0.3">
      <c r="C18" s="103" t="s">
        <v>63</v>
      </c>
      <c r="D18" s="108" t="s">
        <v>64</v>
      </c>
      <c r="E18" s="111">
        <v>44469</v>
      </c>
      <c r="F18" s="101"/>
      <c r="G18" s="31"/>
      <c r="I18" s="102"/>
      <c r="J18" s="61"/>
      <c r="K18" s="61"/>
      <c r="L18" s="70"/>
      <c r="M18" s="114"/>
      <c r="N18" s="4"/>
    </row>
    <row r="19" spans="3:21" x14ac:dyDescent="0.3">
      <c r="C19" s="103" t="s">
        <v>63</v>
      </c>
      <c r="D19" s="108" t="s">
        <v>65</v>
      </c>
      <c r="E19" s="112">
        <f>MIN(E17+14,E18)</f>
        <v>44453</v>
      </c>
      <c r="F19" s="101"/>
      <c r="G19" s="31"/>
      <c r="I19" s="102"/>
      <c r="J19" s="61"/>
      <c r="K19" s="61"/>
      <c r="L19" s="70"/>
      <c r="M19" s="114"/>
      <c r="N19" s="4"/>
    </row>
    <row r="20" spans="3:21" x14ac:dyDescent="0.3">
      <c r="C20" s="103" t="s">
        <v>66</v>
      </c>
      <c r="D20" s="108"/>
      <c r="E20" s="113" t="str">
        <f>CHOOSE(MONTH(E19)+1,"Jan", "Feb","Mar","Apr","May","Jun","Jul","Aug","Sep","Oct","Nov","Dec")</f>
        <v>Oct</v>
      </c>
      <c r="F20" s="101"/>
      <c r="G20" s="31"/>
      <c r="I20" s="102"/>
      <c r="J20" s="61"/>
      <c r="K20" s="61"/>
      <c r="L20" s="70"/>
      <c r="M20" s="114"/>
      <c r="N20" s="4"/>
    </row>
    <row r="21" spans="3:21" x14ac:dyDescent="0.3">
      <c r="C21" s="103" t="s">
        <v>67</v>
      </c>
      <c r="D21" s="108"/>
      <c r="E21" s="110">
        <f>VLOOKUP(E20,Sheet1!A2:C13,3,FALSE)</f>
        <v>0.17</v>
      </c>
      <c r="F21" s="101"/>
      <c r="G21" s="31"/>
      <c r="I21" s="102"/>
      <c r="J21" s="61"/>
      <c r="K21" s="61"/>
      <c r="L21" s="70"/>
      <c r="M21" s="114"/>
    </row>
    <row r="22" spans="3:21" x14ac:dyDescent="0.3">
      <c r="C22" s="106" t="s">
        <v>68</v>
      </c>
      <c r="D22" s="109"/>
      <c r="E22" s="110">
        <f>1-E21</f>
        <v>0.83</v>
      </c>
      <c r="F22" s="101"/>
      <c r="G22" s="31"/>
      <c r="I22" s="102"/>
      <c r="J22" s="61"/>
      <c r="K22" s="61"/>
      <c r="L22" s="70"/>
      <c r="M22" s="114"/>
    </row>
    <row r="23" spans="3:21" x14ac:dyDescent="0.3"/>
    <row r="24" spans="3:21" ht="16.2" outlineLevel="1" thickBot="1" x14ac:dyDescent="0.35">
      <c r="C24" s="32" t="s">
        <v>37</v>
      </c>
      <c r="D24" s="33" t="s">
        <v>38</v>
      </c>
      <c r="E24" s="34">
        <v>1</v>
      </c>
      <c r="F24" s="34">
        <f>E24+1</f>
        <v>2</v>
      </c>
      <c r="G24" s="34">
        <f>F24+1</f>
        <v>3</v>
      </c>
      <c r="H24" s="34">
        <f t="shared" ref="H24:S24" si="0">G24+1</f>
        <v>4</v>
      </c>
      <c r="I24" s="34">
        <f t="shared" si="0"/>
        <v>5</v>
      </c>
      <c r="J24" s="34">
        <f t="shared" si="0"/>
        <v>6</v>
      </c>
      <c r="K24" s="34">
        <f t="shared" si="0"/>
        <v>7</v>
      </c>
      <c r="L24" s="34">
        <f t="shared" si="0"/>
        <v>8</v>
      </c>
      <c r="M24" s="34">
        <f t="shared" si="0"/>
        <v>9</v>
      </c>
      <c r="N24" s="34">
        <f t="shared" si="0"/>
        <v>10</v>
      </c>
      <c r="O24" s="34">
        <f t="shared" si="0"/>
        <v>11</v>
      </c>
      <c r="P24" s="34">
        <f t="shared" si="0"/>
        <v>12</v>
      </c>
      <c r="Q24" s="34">
        <f t="shared" si="0"/>
        <v>13</v>
      </c>
      <c r="R24" s="34">
        <f t="shared" si="0"/>
        <v>14</v>
      </c>
      <c r="S24" s="34">
        <f t="shared" si="0"/>
        <v>15</v>
      </c>
      <c r="T24" s="34">
        <f t="shared" ref="T24" si="1">S24+1</f>
        <v>16</v>
      </c>
      <c r="U24" s="35" t="s">
        <v>39</v>
      </c>
    </row>
    <row r="25" spans="3:21" ht="15" outlineLevel="1" thickTop="1" x14ac:dyDescent="0.3">
      <c r="C25" s="36" t="s">
        <v>40</v>
      </c>
      <c r="D25" s="37" t="s">
        <v>41</v>
      </c>
      <c r="E25" s="38">
        <f t="shared" ref="E25:T25" si="2">(1-$E$16)^(E24-1)</f>
        <v>1</v>
      </c>
      <c r="F25" s="38">
        <f t="shared" si="2"/>
        <v>0.99</v>
      </c>
      <c r="G25" s="38">
        <f t="shared" si="2"/>
        <v>0.98009999999999997</v>
      </c>
      <c r="H25" s="38">
        <f t="shared" si="2"/>
        <v>0.97029899999999991</v>
      </c>
      <c r="I25" s="38">
        <f t="shared" si="2"/>
        <v>0.96059600999999994</v>
      </c>
      <c r="J25" s="38">
        <f t="shared" si="2"/>
        <v>0.95099004989999991</v>
      </c>
      <c r="K25" s="38">
        <f t="shared" si="2"/>
        <v>0.94148014940099989</v>
      </c>
      <c r="L25" s="38">
        <f t="shared" si="2"/>
        <v>0.93206534790698992</v>
      </c>
      <c r="M25" s="38">
        <f t="shared" si="2"/>
        <v>0.92274469442791995</v>
      </c>
      <c r="N25" s="38">
        <f t="shared" si="2"/>
        <v>0.91351724748364072</v>
      </c>
      <c r="O25" s="38">
        <f t="shared" si="2"/>
        <v>0.9043820750088043</v>
      </c>
      <c r="P25" s="38">
        <f t="shared" si="2"/>
        <v>0.89533825425871627</v>
      </c>
      <c r="Q25" s="38">
        <f t="shared" si="2"/>
        <v>0.88638487171612912</v>
      </c>
      <c r="R25" s="38">
        <f t="shared" si="2"/>
        <v>0.87752102299896773</v>
      </c>
      <c r="S25" s="38">
        <f t="shared" si="2"/>
        <v>0.86874581276897811</v>
      </c>
      <c r="T25" s="38">
        <f t="shared" si="2"/>
        <v>0.86005835464128833</v>
      </c>
      <c r="U25" s="39"/>
    </row>
    <row r="26" spans="3:21" outlineLevel="1" x14ac:dyDescent="0.3">
      <c r="C26" s="125" t="s">
        <v>85</v>
      </c>
      <c r="D26" s="40" t="s">
        <v>30</v>
      </c>
      <c r="E26" s="41">
        <v>120000</v>
      </c>
      <c r="F26" s="41">
        <f>MAX($E$13,$G$13)</f>
        <v>120000</v>
      </c>
      <c r="G26" s="41">
        <f t="shared" ref="G26:S26" si="3">MAX($E$13,$G$13)</f>
        <v>120000</v>
      </c>
      <c r="H26" s="41">
        <f t="shared" si="3"/>
        <v>120000</v>
      </c>
      <c r="I26" s="41">
        <f t="shared" si="3"/>
        <v>120000</v>
      </c>
      <c r="J26" s="41">
        <f t="shared" si="3"/>
        <v>120000</v>
      </c>
      <c r="K26" s="41">
        <f t="shared" si="3"/>
        <v>120000</v>
      </c>
      <c r="L26" s="41">
        <f t="shared" si="3"/>
        <v>120000</v>
      </c>
      <c r="M26" s="41">
        <f t="shared" si="3"/>
        <v>120000</v>
      </c>
      <c r="N26" s="41">
        <f t="shared" si="3"/>
        <v>120000</v>
      </c>
      <c r="O26" s="41">
        <f t="shared" si="3"/>
        <v>120000</v>
      </c>
      <c r="P26" s="41">
        <f t="shared" si="3"/>
        <v>120000</v>
      </c>
      <c r="Q26" s="41">
        <f t="shared" si="3"/>
        <v>120000</v>
      </c>
      <c r="R26" s="41">
        <f t="shared" si="3"/>
        <v>120000</v>
      </c>
      <c r="S26" s="41">
        <f t="shared" si="3"/>
        <v>120000</v>
      </c>
      <c r="T26" s="41">
        <v>120000</v>
      </c>
      <c r="U26" s="42">
        <f>SUM(E26:T26)</f>
        <v>1920000</v>
      </c>
    </row>
    <row r="27" spans="3:21" outlineLevel="1" x14ac:dyDescent="0.3">
      <c r="C27" s="126" t="s">
        <v>88</v>
      </c>
      <c r="D27" s="127" t="s">
        <v>30</v>
      </c>
      <c r="E27" s="128">
        <f>E26*$E$11*E25*E21</f>
        <v>18360</v>
      </c>
      <c r="F27" s="128">
        <f>F26*$E$11*F25</f>
        <v>106920</v>
      </c>
      <c r="G27" s="128">
        <f>G26*$E$11*G25</f>
        <v>105850.8</v>
      </c>
      <c r="H27" s="128">
        <f>H26*$E$11*H25</f>
        <v>104792.29199999999</v>
      </c>
      <c r="I27" s="128">
        <f t="shared" ref="I27:S27" si="4">I26*$E$11*I25</f>
        <v>103744.36907999999</v>
      </c>
      <c r="J27" s="128">
        <f t="shared" si="4"/>
        <v>102706.92538919998</v>
      </c>
      <c r="K27" s="128">
        <f t="shared" si="4"/>
        <v>101679.85613530799</v>
      </c>
      <c r="L27" s="128">
        <f t="shared" si="4"/>
        <v>100663.05757395491</v>
      </c>
      <c r="M27" s="128">
        <f t="shared" si="4"/>
        <v>99656.426998215349</v>
      </c>
      <c r="N27" s="128">
        <f t="shared" si="4"/>
        <v>98659.862728233202</v>
      </c>
      <c r="O27" s="128">
        <f t="shared" si="4"/>
        <v>97673.264100950866</v>
      </c>
      <c r="P27" s="128">
        <f t="shared" si="4"/>
        <v>96696.531459941354</v>
      </c>
      <c r="Q27" s="128">
        <f t="shared" si="4"/>
        <v>95729.566145341945</v>
      </c>
      <c r="R27" s="128">
        <f t="shared" si="4"/>
        <v>94772.270483888511</v>
      </c>
      <c r="S27" s="128">
        <f t="shared" si="4"/>
        <v>93824.547779049637</v>
      </c>
      <c r="T27" s="129">
        <f>T26*$E$11*T25*E22</f>
        <v>77095.630910045089</v>
      </c>
      <c r="U27" s="124">
        <f>SUM(E27:T27)</f>
        <v>1498825.4007841286</v>
      </c>
    </row>
    <row r="28" spans="3:21" outlineLevel="1" x14ac:dyDescent="0.3">
      <c r="C28" s="121" t="s">
        <v>87</v>
      </c>
      <c r="D28" s="120" t="s">
        <v>30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3"/>
    </row>
    <row r="29" spans="3:21" outlineLevel="1" x14ac:dyDescent="0.3">
      <c r="C29" s="116" t="s">
        <v>86</v>
      </c>
      <c r="D29" s="40" t="s">
        <v>30</v>
      </c>
      <c r="E29" s="130">
        <f>E28*$E$11*E25*E21</f>
        <v>0</v>
      </c>
      <c r="F29" s="130">
        <f t="shared" ref="F29:S29" si="5">F28*$E$11*F25</f>
        <v>0</v>
      </c>
      <c r="G29" s="130">
        <f t="shared" si="5"/>
        <v>0</v>
      </c>
      <c r="H29" s="130">
        <f t="shared" si="5"/>
        <v>0</v>
      </c>
      <c r="I29" s="130">
        <f t="shared" si="5"/>
        <v>0</v>
      </c>
      <c r="J29" s="130">
        <f t="shared" si="5"/>
        <v>0</v>
      </c>
      <c r="K29" s="130">
        <f t="shared" si="5"/>
        <v>0</v>
      </c>
      <c r="L29" s="130">
        <f t="shared" si="5"/>
        <v>0</v>
      </c>
      <c r="M29" s="130">
        <f t="shared" si="5"/>
        <v>0</v>
      </c>
      <c r="N29" s="130">
        <f t="shared" si="5"/>
        <v>0</v>
      </c>
      <c r="O29" s="130">
        <f t="shared" si="5"/>
        <v>0</v>
      </c>
      <c r="P29" s="130">
        <f t="shared" si="5"/>
        <v>0</v>
      </c>
      <c r="Q29" s="130">
        <f t="shared" si="5"/>
        <v>0</v>
      </c>
      <c r="R29" s="130">
        <f t="shared" si="5"/>
        <v>0</v>
      </c>
      <c r="S29" s="130">
        <f t="shared" si="5"/>
        <v>0</v>
      </c>
      <c r="T29" s="130">
        <f>T28*$E$11*T25*E22</f>
        <v>0</v>
      </c>
      <c r="U29" s="42">
        <f>SUM(E29:T29)</f>
        <v>0</v>
      </c>
    </row>
    <row r="30" spans="3:21" outlineLevel="1" x14ac:dyDescent="0.3">
      <c r="C30" s="116" t="s">
        <v>84</v>
      </c>
      <c r="D30" s="40" t="s">
        <v>30</v>
      </c>
      <c r="E30" s="128">
        <f>H36</f>
        <v>18360</v>
      </c>
      <c r="F30" s="128">
        <f>H37</f>
        <v>125280</v>
      </c>
      <c r="G30" s="128">
        <f>H38</f>
        <v>231130.8</v>
      </c>
      <c r="H30" s="128">
        <f>H39</f>
        <v>335923.09199999995</v>
      </c>
      <c r="I30" s="128">
        <f>H40</f>
        <v>439667.46107999992</v>
      </c>
      <c r="J30" s="128">
        <f>H41</f>
        <v>542374.3864691999</v>
      </c>
      <c r="K30" s="128">
        <f>H42</f>
        <v>644054.24260450783</v>
      </c>
      <c r="L30" s="128">
        <f>H43</f>
        <v>744717.30017846276</v>
      </c>
      <c r="M30" s="128">
        <f>H44</f>
        <v>844373.72717667813</v>
      </c>
      <c r="N30" s="128">
        <f>H45</f>
        <v>943033.58990491135</v>
      </c>
      <c r="O30" s="128">
        <f>H46</f>
        <v>1040706.8540058623</v>
      </c>
      <c r="P30" s="128">
        <f>H47</f>
        <v>1137403.3854658036</v>
      </c>
      <c r="Q30" s="128">
        <f>H48</f>
        <v>1233132.9516111454</v>
      </c>
      <c r="R30" s="128">
        <f>H49</f>
        <v>1327905.2220950339</v>
      </c>
      <c r="S30" s="128">
        <f>H50</f>
        <v>1421729.7698740836</v>
      </c>
      <c r="T30" s="128">
        <f>H51</f>
        <v>1498825.4007841286</v>
      </c>
      <c r="U30" s="42"/>
    </row>
    <row r="31" spans="3:21" ht="15" outlineLevel="1" thickBot="1" x14ac:dyDescent="0.35">
      <c r="C31" t="s">
        <v>89</v>
      </c>
      <c r="D31" s="24" t="s">
        <v>42</v>
      </c>
      <c r="E31" s="131">
        <f>$K$7</f>
        <v>8.3398639984753886E-2</v>
      </c>
      <c r="F31" s="132">
        <f t="shared" ref="F31:T31" si="6">$K$7</f>
        <v>8.3398639984753886E-2</v>
      </c>
      <c r="G31" s="132">
        <f t="shared" si="6"/>
        <v>8.3398639984753886E-2</v>
      </c>
      <c r="H31" s="132">
        <f t="shared" si="6"/>
        <v>8.3398639984753886E-2</v>
      </c>
      <c r="I31" s="132">
        <f t="shared" si="6"/>
        <v>8.3398639984753886E-2</v>
      </c>
      <c r="J31" s="132">
        <f t="shared" si="6"/>
        <v>8.3398639984753886E-2</v>
      </c>
      <c r="K31" s="132">
        <f t="shared" si="6"/>
        <v>8.3398639984753886E-2</v>
      </c>
      <c r="L31" s="132">
        <f t="shared" si="6"/>
        <v>8.3398639984753886E-2</v>
      </c>
      <c r="M31" s="132">
        <f t="shared" si="6"/>
        <v>8.3398639984753886E-2</v>
      </c>
      <c r="N31" s="132">
        <f t="shared" si="6"/>
        <v>8.3398639984753886E-2</v>
      </c>
      <c r="O31" s="132">
        <f t="shared" si="6"/>
        <v>8.3398639984753886E-2</v>
      </c>
      <c r="P31" s="132">
        <f t="shared" si="6"/>
        <v>8.3398639984753886E-2</v>
      </c>
      <c r="Q31" s="132">
        <f t="shared" si="6"/>
        <v>8.3398639984753886E-2</v>
      </c>
      <c r="R31" s="132">
        <f t="shared" si="6"/>
        <v>8.3398639984753886E-2</v>
      </c>
      <c r="S31" s="133">
        <f t="shared" si="6"/>
        <v>8.3398639984753886E-2</v>
      </c>
      <c r="T31" s="133">
        <f t="shared" si="6"/>
        <v>8.3398639984753886E-2</v>
      </c>
      <c r="U31" s="12"/>
    </row>
    <row r="32" spans="3:21" outlineLevel="1" x14ac:dyDescent="0.3">
      <c r="C32" t="s">
        <v>43</v>
      </c>
      <c r="D32" s="13" t="s">
        <v>9</v>
      </c>
      <c r="E32" s="134">
        <f>IF(E28=0,E27*E31,E29*E31)</f>
        <v>1531.1990301200813</v>
      </c>
      <c r="F32" s="134">
        <f t="shared" ref="F32:T32" si="7">IF(F28=0,F27*F31,F29*F31)</f>
        <v>8916.9825871698849</v>
      </c>
      <c r="G32" s="134">
        <f t="shared" si="7"/>
        <v>8827.8127612981862</v>
      </c>
      <c r="H32" s="134">
        <f t="shared" si="7"/>
        <v>8739.5346336852035</v>
      </c>
      <c r="I32" s="134">
        <f t="shared" si="7"/>
        <v>8652.139287348351</v>
      </c>
      <c r="J32" s="134">
        <f t="shared" si="7"/>
        <v>8565.6178944748681</v>
      </c>
      <c r="K32" s="134">
        <f t="shared" si="7"/>
        <v>8479.9617155301185</v>
      </c>
      <c r="L32" s="134">
        <f t="shared" si="7"/>
        <v>8395.162098374818</v>
      </c>
      <c r="M32" s="134">
        <f t="shared" si="7"/>
        <v>8311.2104773910687</v>
      </c>
      <c r="N32" s="134">
        <f t="shared" si="7"/>
        <v>8228.0983726171598</v>
      </c>
      <c r="O32" s="134">
        <f t="shared" si="7"/>
        <v>8145.8173888909869</v>
      </c>
      <c r="P32" s="134">
        <f t="shared" si="7"/>
        <v>8064.3592150020768</v>
      </c>
      <c r="Q32" s="134">
        <f t="shared" si="7"/>
        <v>7983.7156228520571</v>
      </c>
      <c r="R32" s="134">
        <f t="shared" si="7"/>
        <v>7903.8784666235351</v>
      </c>
      <c r="S32" s="134">
        <f t="shared" si="7"/>
        <v>7824.8396819573009</v>
      </c>
      <c r="T32" s="134">
        <f t="shared" si="7"/>
        <v>6429.6707666643142</v>
      </c>
      <c r="U32" s="43"/>
    </row>
    <row r="33" spans="4:18" ht="64.8" customHeight="1" outlineLevel="1" x14ac:dyDescent="0.3"/>
    <row r="34" spans="4:18" ht="15" thickBot="1" x14ac:dyDescent="0.35"/>
    <row r="35" spans="4:18" ht="58.2" thickBot="1" x14ac:dyDescent="0.35">
      <c r="D35" s="91" t="s">
        <v>38</v>
      </c>
      <c r="E35" s="92" t="s">
        <v>44</v>
      </c>
      <c r="F35" s="92" t="s">
        <v>52</v>
      </c>
      <c r="G35" s="92" t="s">
        <v>46</v>
      </c>
      <c r="H35" s="92" t="s">
        <v>53</v>
      </c>
      <c r="I35" s="92" t="s">
        <v>47</v>
      </c>
      <c r="J35" s="92" t="s">
        <v>48</v>
      </c>
      <c r="K35" s="93" t="s">
        <v>49</v>
      </c>
      <c r="L35" s="94" t="s">
        <v>57</v>
      </c>
      <c r="M35" s="94" t="s">
        <v>22</v>
      </c>
      <c r="N35" s="94" t="s">
        <v>51</v>
      </c>
      <c r="P35" s="45"/>
      <c r="Q35" s="45"/>
      <c r="R35" s="45"/>
    </row>
    <row r="36" spans="4:18" x14ac:dyDescent="0.3">
      <c r="D36" s="135">
        <v>1</v>
      </c>
      <c r="E36" s="136">
        <f>IF(E28=0,E26,E28)</f>
        <v>120000</v>
      </c>
      <c r="F36" s="137">
        <f>E36*E11*E25*E21</f>
        <v>18360</v>
      </c>
      <c r="G36" s="138">
        <f t="shared" ref="G36:G51" si="8">F36/$F$52</f>
        <v>1.2249592240960651E-2</v>
      </c>
      <c r="H36" s="137">
        <f>SUM($F$36:F36)</f>
        <v>18360</v>
      </c>
      <c r="I36" s="139">
        <f>SUM($G$36:G36)</f>
        <v>1.2249592240960651E-2</v>
      </c>
      <c r="J36" s="140">
        <f>F36*$K$7</f>
        <v>1531.1990301200813</v>
      </c>
      <c r="K36" s="141">
        <f>SUM($J$36:J36)</f>
        <v>1531.1990301200813</v>
      </c>
      <c r="L36" s="88">
        <v>18360</v>
      </c>
      <c r="M36" s="72">
        <f>1-(L36/F36)</f>
        <v>0</v>
      </c>
      <c r="N36" s="147">
        <f>(F36-L36)*$K$7</f>
        <v>0</v>
      </c>
      <c r="P36" s="49"/>
      <c r="Q36" s="50"/>
    </row>
    <row r="37" spans="4:18" x14ac:dyDescent="0.3">
      <c r="D37" s="135">
        <f>D36+1</f>
        <v>2</v>
      </c>
      <c r="E37" s="136">
        <f>IF(F28=0,F26,F28)</f>
        <v>120000</v>
      </c>
      <c r="F37" s="137">
        <f>E37*E11*F25</f>
        <v>106920</v>
      </c>
      <c r="G37" s="138">
        <f t="shared" si="8"/>
        <v>7.1335860697359088E-2</v>
      </c>
      <c r="H37" s="137">
        <f>SUM($F$36:F37)</f>
        <v>125280</v>
      </c>
      <c r="I37" s="139">
        <f>SUM($G$36:G37)</f>
        <v>8.3585452938319732E-2</v>
      </c>
      <c r="J37" s="140">
        <f t="shared" ref="J37:J51" si="9">F37*$K$7</f>
        <v>8916.9825871698849</v>
      </c>
      <c r="K37" s="141">
        <f>SUM($J$36:J37)</f>
        <v>10448.181617289967</v>
      </c>
      <c r="L37" s="88">
        <v>106920</v>
      </c>
      <c r="M37" s="72">
        <f t="shared" ref="M37:M51" si="10">1-(L37/F37)</f>
        <v>0</v>
      </c>
      <c r="N37" s="147">
        <f t="shared" ref="N37:N51" si="11">(F37-L37)*$K$7</f>
        <v>0</v>
      </c>
      <c r="P37" s="51"/>
      <c r="Q37" s="50"/>
    </row>
    <row r="38" spans="4:18" x14ac:dyDescent="0.3">
      <c r="D38" s="135">
        <f t="shared" ref="D38:D49" si="12">D37+1</f>
        <v>3</v>
      </c>
      <c r="E38" s="136">
        <f>IF(G28=0,G26,G28)</f>
        <v>120000</v>
      </c>
      <c r="F38" s="137">
        <f>E38*E11*G25</f>
        <v>105850.8</v>
      </c>
      <c r="G38" s="138">
        <f t="shared" si="8"/>
        <v>7.0622502090385494E-2</v>
      </c>
      <c r="H38" s="137">
        <f>SUM($F$36:F38)</f>
        <v>231130.8</v>
      </c>
      <c r="I38" s="139">
        <f>SUM($G$36:G38)</f>
        <v>0.15420795502870521</v>
      </c>
      <c r="J38" s="140">
        <f t="shared" si="9"/>
        <v>8827.8127612981862</v>
      </c>
      <c r="K38" s="141">
        <f>SUM($J$36:J38)</f>
        <v>19275.994378588155</v>
      </c>
      <c r="L38" s="88">
        <v>105850.8</v>
      </c>
      <c r="M38" s="72">
        <f t="shared" si="10"/>
        <v>0</v>
      </c>
      <c r="N38" s="147">
        <f t="shared" si="11"/>
        <v>0</v>
      </c>
      <c r="P38" s="51"/>
      <c r="Q38" s="50"/>
    </row>
    <row r="39" spans="4:18" x14ac:dyDescent="0.3">
      <c r="D39" s="135">
        <f t="shared" si="12"/>
        <v>4</v>
      </c>
      <c r="E39" s="136">
        <f>IF(H28=0,H26,H28)</f>
        <v>120000</v>
      </c>
      <c r="F39" s="137">
        <f>E39*E11*H25</f>
        <v>104792.29199999999</v>
      </c>
      <c r="G39" s="138">
        <f t="shared" si="8"/>
        <v>6.9916277069481628E-2</v>
      </c>
      <c r="H39" s="137">
        <f>SUM($F$36:F39)</f>
        <v>335923.09199999995</v>
      </c>
      <c r="I39" s="139">
        <f>SUM($G$36:G39)</f>
        <v>0.22412423209818683</v>
      </c>
      <c r="J39" s="140">
        <f t="shared" si="9"/>
        <v>8739.5346336852035</v>
      </c>
      <c r="K39" s="141">
        <f>SUM($J$36:J39)</f>
        <v>28015.529012273357</v>
      </c>
      <c r="L39" s="88">
        <v>104792.29199999999</v>
      </c>
      <c r="M39" s="72">
        <f t="shared" si="10"/>
        <v>0</v>
      </c>
      <c r="N39" s="147">
        <f t="shared" si="11"/>
        <v>0</v>
      </c>
      <c r="P39" s="51"/>
      <c r="Q39" s="50"/>
    </row>
    <row r="40" spans="4:18" x14ac:dyDescent="0.3">
      <c r="D40" s="135">
        <f t="shared" si="12"/>
        <v>5</v>
      </c>
      <c r="E40" s="136">
        <f>IF(I28=0,I26,I28)</f>
        <v>120000</v>
      </c>
      <c r="F40" s="137">
        <f>E40*E11*I25</f>
        <v>103744.36907999999</v>
      </c>
      <c r="G40" s="138">
        <f t="shared" si="8"/>
        <v>6.9217114298786825E-2</v>
      </c>
      <c r="H40" s="137">
        <f>SUM($F$36:F40)</f>
        <v>439667.46107999992</v>
      </c>
      <c r="I40" s="139">
        <f>SUM($G$36:G40)</f>
        <v>0.29334134639697362</v>
      </c>
      <c r="J40" s="140">
        <f t="shared" si="9"/>
        <v>8652.139287348351</v>
      </c>
      <c r="K40" s="141">
        <f>SUM($J$36:J40)</f>
        <v>36667.668299621706</v>
      </c>
      <c r="L40" s="88">
        <v>103744.36907999999</v>
      </c>
      <c r="M40" s="72">
        <f t="shared" si="10"/>
        <v>0</v>
      </c>
      <c r="N40" s="147">
        <f t="shared" si="11"/>
        <v>0</v>
      </c>
      <c r="P40" s="51"/>
      <c r="Q40" s="50"/>
    </row>
    <row r="41" spans="4:18" x14ac:dyDescent="0.3">
      <c r="D41" s="135">
        <f t="shared" si="12"/>
        <v>6</v>
      </c>
      <c r="E41" s="136">
        <f>IF(J28=0,J26,J28)</f>
        <v>120000</v>
      </c>
      <c r="F41" s="137">
        <f>E41*E11*J25</f>
        <v>102706.92538919998</v>
      </c>
      <c r="G41" s="138">
        <f t="shared" si="8"/>
        <v>6.8524943155798948E-2</v>
      </c>
      <c r="H41" s="137">
        <f>SUM($F$36:F41)</f>
        <v>542374.3864691999</v>
      </c>
      <c r="I41" s="139">
        <f>SUM($G$36:G41)</f>
        <v>0.36186628955277256</v>
      </c>
      <c r="J41" s="140">
        <f t="shared" si="9"/>
        <v>8565.6178944748681</v>
      </c>
      <c r="K41" s="141">
        <f>SUM($J$36:J41)</f>
        <v>45233.286194096574</v>
      </c>
      <c r="L41" s="88">
        <v>102706.92538919998</v>
      </c>
      <c r="M41" s="72">
        <f t="shared" si="10"/>
        <v>0</v>
      </c>
      <c r="N41" s="147">
        <f t="shared" si="11"/>
        <v>0</v>
      </c>
      <c r="P41" s="51"/>
      <c r="Q41" s="50"/>
    </row>
    <row r="42" spans="4:18" x14ac:dyDescent="0.3">
      <c r="D42" s="135">
        <f t="shared" si="12"/>
        <v>7</v>
      </c>
      <c r="E42" s="136">
        <f>IF(K28=0,K26,K28)</f>
        <v>120000</v>
      </c>
      <c r="F42" s="137">
        <f>E42*E11*K25</f>
        <v>101679.85613530799</v>
      </c>
      <c r="G42" s="138">
        <f t="shared" si="8"/>
        <v>6.7839693724240951E-2</v>
      </c>
      <c r="H42" s="137">
        <f>SUM($F$36:F42)</f>
        <v>644054.24260450783</v>
      </c>
      <c r="I42" s="139">
        <f>SUM($G$36:G42)</f>
        <v>0.42970598327701348</v>
      </c>
      <c r="J42" s="140">
        <f t="shared" si="9"/>
        <v>8479.9617155301185</v>
      </c>
      <c r="K42" s="141">
        <f>SUM($J$36:J42)</f>
        <v>53713.247909626691</v>
      </c>
      <c r="L42" s="88">
        <v>101679.85613530799</v>
      </c>
      <c r="M42" s="72">
        <f t="shared" si="10"/>
        <v>0</v>
      </c>
      <c r="N42" s="147">
        <f t="shared" si="11"/>
        <v>0</v>
      </c>
      <c r="P42" s="51"/>
      <c r="Q42" s="50"/>
    </row>
    <row r="43" spans="4:18" x14ac:dyDescent="0.3">
      <c r="D43" s="135">
        <f t="shared" si="12"/>
        <v>8</v>
      </c>
      <c r="E43" s="136">
        <f>IF(L28=0,L26,L28)</f>
        <v>120000</v>
      </c>
      <c r="F43" s="137">
        <f>E43*E11*L25</f>
        <v>100663.05757395491</v>
      </c>
      <c r="G43" s="138">
        <f t="shared" si="8"/>
        <v>6.7161296786998545E-2</v>
      </c>
      <c r="H43" s="137">
        <f>SUM($F$36:F43)</f>
        <v>744717.30017846276</v>
      </c>
      <c r="I43" s="139">
        <f>SUM($G$36:G43)</f>
        <v>0.49686728006401204</v>
      </c>
      <c r="J43" s="140">
        <f t="shared" si="9"/>
        <v>8395.162098374818</v>
      </c>
      <c r="K43" s="141">
        <f>SUM($J$36:J43)</f>
        <v>62108.410008001505</v>
      </c>
      <c r="L43" s="88">
        <v>100663.05757395491</v>
      </c>
      <c r="M43" s="72">
        <f t="shared" si="10"/>
        <v>0</v>
      </c>
      <c r="N43" s="147">
        <f t="shared" si="11"/>
        <v>0</v>
      </c>
      <c r="P43" s="51"/>
      <c r="Q43" s="50"/>
    </row>
    <row r="44" spans="4:18" x14ac:dyDescent="0.3">
      <c r="D44" s="135">
        <f t="shared" si="12"/>
        <v>9</v>
      </c>
      <c r="E44" s="136">
        <f>IF(M28=0,M26,M28)</f>
        <v>120000</v>
      </c>
      <c r="F44" s="137">
        <f>E44*E11*M25</f>
        <v>99656.426998215349</v>
      </c>
      <c r="G44" s="138">
        <f t="shared" si="8"/>
        <v>6.6489683819128564E-2</v>
      </c>
      <c r="H44" s="137">
        <f>SUM($F$36:F44)</f>
        <v>844373.72717667813</v>
      </c>
      <c r="I44" s="139">
        <f>SUM($G$36:G44)</f>
        <v>0.5633569638831406</v>
      </c>
      <c r="J44" s="140">
        <f t="shared" si="9"/>
        <v>8311.2104773910687</v>
      </c>
      <c r="K44" s="141">
        <f>SUM($J$36:J44)</f>
        <v>70419.620485392574</v>
      </c>
      <c r="L44" s="88">
        <v>99656.426998215349</v>
      </c>
      <c r="M44" s="72">
        <f t="shared" si="10"/>
        <v>0</v>
      </c>
      <c r="N44" s="147">
        <f t="shared" si="11"/>
        <v>0</v>
      </c>
      <c r="P44" s="51"/>
      <c r="Q44" s="50"/>
    </row>
    <row r="45" spans="4:18" x14ac:dyDescent="0.3">
      <c r="D45" s="135">
        <f t="shared" si="12"/>
        <v>10</v>
      </c>
      <c r="E45" s="136">
        <f>IF(N28=0,N26,N28)</f>
        <v>120000</v>
      </c>
      <c r="F45" s="137">
        <f>E45*E11*N25</f>
        <v>98659.862728233202</v>
      </c>
      <c r="G45" s="138">
        <f t="shared" si="8"/>
        <v>6.5824786980937272E-2</v>
      </c>
      <c r="H45" s="137">
        <f>SUM($F$36:F45)</f>
        <v>943033.58990491135</v>
      </c>
      <c r="I45" s="139">
        <f>SUM($G$36:G45)</f>
        <v>0.6291817508640779</v>
      </c>
      <c r="J45" s="140">
        <f t="shared" si="9"/>
        <v>8228.0983726171598</v>
      </c>
      <c r="K45" s="141">
        <f>SUM($J$36:J45)</f>
        <v>78647.718858009728</v>
      </c>
      <c r="L45" s="88">
        <v>98659.862728233202</v>
      </c>
      <c r="M45" s="72">
        <f t="shared" si="10"/>
        <v>0</v>
      </c>
      <c r="N45" s="147">
        <f t="shared" si="11"/>
        <v>0</v>
      </c>
      <c r="P45" s="51"/>
      <c r="Q45" s="50"/>
    </row>
    <row r="46" spans="4:18" x14ac:dyDescent="0.3">
      <c r="D46" s="135">
        <f t="shared" si="12"/>
        <v>11</v>
      </c>
      <c r="E46" s="136">
        <f>IF(O28=0,O26,O28)</f>
        <v>120000</v>
      </c>
      <c r="F46" s="137">
        <f>E46*E11*O25</f>
        <v>97673.264100950866</v>
      </c>
      <c r="G46" s="138">
        <f t="shared" si="8"/>
        <v>6.5166539111127894E-2</v>
      </c>
      <c r="H46" s="137">
        <f>SUM($F$36:F46)</f>
        <v>1040706.8540058623</v>
      </c>
      <c r="I46" s="139">
        <f>SUM($G$36:G46)</f>
        <v>0.69434828997520581</v>
      </c>
      <c r="J46" s="140">
        <f t="shared" si="9"/>
        <v>8145.8173888909869</v>
      </c>
      <c r="K46" s="141">
        <f>SUM($J$36:J46)</f>
        <v>86793.536246900709</v>
      </c>
      <c r="L46" s="88">
        <v>97673.264100950866</v>
      </c>
      <c r="M46" s="72">
        <f t="shared" si="10"/>
        <v>0</v>
      </c>
      <c r="N46" s="147">
        <f t="shared" si="11"/>
        <v>0</v>
      </c>
      <c r="P46" s="51"/>
      <c r="Q46" s="50"/>
    </row>
    <row r="47" spans="4:18" x14ac:dyDescent="0.3">
      <c r="D47" s="135">
        <f t="shared" si="12"/>
        <v>12</v>
      </c>
      <c r="E47" s="136">
        <f>IF(P28=0,P26,P28)</f>
        <v>120000</v>
      </c>
      <c r="F47" s="137">
        <f>E47*E11*P25</f>
        <v>96696.531459941354</v>
      </c>
      <c r="G47" s="138">
        <f t="shared" si="8"/>
        <v>6.4514873720016616E-2</v>
      </c>
      <c r="H47" s="137">
        <f>SUM($F$36:F47)</f>
        <v>1137403.3854658036</v>
      </c>
      <c r="I47" s="139">
        <f>SUM($G$36:G47)</f>
        <v>0.75886316369522244</v>
      </c>
      <c r="J47" s="140">
        <f t="shared" si="9"/>
        <v>8064.3592150020768</v>
      </c>
      <c r="K47" s="141">
        <f>SUM($J$36:J47)</f>
        <v>94857.895461902779</v>
      </c>
      <c r="L47" s="88">
        <v>96696.531459941354</v>
      </c>
      <c r="M47" s="72">
        <f t="shared" si="10"/>
        <v>0</v>
      </c>
      <c r="N47" s="147">
        <f t="shared" si="11"/>
        <v>0</v>
      </c>
      <c r="P47" s="51"/>
      <c r="Q47" s="50"/>
    </row>
    <row r="48" spans="4:18" x14ac:dyDescent="0.3">
      <c r="D48" s="135">
        <f t="shared" si="12"/>
        <v>13</v>
      </c>
      <c r="E48" s="136">
        <f>IF(Q28=0,Q26,Q28)</f>
        <v>120000</v>
      </c>
      <c r="F48" s="137">
        <f>E48*E11*Q25</f>
        <v>95729.566145341945</v>
      </c>
      <c r="G48" s="138">
        <f t="shared" si="8"/>
        <v>6.3869724982816456E-2</v>
      </c>
      <c r="H48" s="137">
        <f>SUM($F$36:F48)</f>
        <v>1233132.9516111454</v>
      </c>
      <c r="I48" s="139">
        <f>SUM($G$36:G48)</f>
        <v>0.82273288867803895</v>
      </c>
      <c r="J48" s="140">
        <f t="shared" si="9"/>
        <v>7983.7156228520571</v>
      </c>
      <c r="K48" s="141">
        <f>SUM($J$36:J48)</f>
        <v>102841.61108475484</v>
      </c>
      <c r="L48" s="88">
        <v>95729.566145341945</v>
      </c>
      <c r="M48" s="72">
        <f t="shared" si="10"/>
        <v>0</v>
      </c>
      <c r="N48" s="147">
        <f t="shared" si="11"/>
        <v>0</v>
      </c>
      <c r="P48" s="51"/>
      <c r="Q48" s="50"/>
    </row>
    <row r="49" spans="4:17" x14ac:dyDescent="0.3">
      <c r="D49" s="135">
        <f t="shared" si="12"/>
        <v>14</v>
      </c>
      <c r="E49" s="136">
        <f>IF(R28=0,R26,R28)</f>
        <v>120000</v>
      </c>
      <c r="F49" s="137">
        <f>E49*E11*R25</f>
        <v>94772.270483888511</v>
      </c>
      <c r="G49" s="138">
        <f t="shared" si="8"/>
        <v>6.3231027732988276E-2</v>
      </c>
      <c r="H49" s="137">
        <f>SUM($F$36:F49)</f>
        <v>1327905.2220950339</v>
      </c>
      <c r="I49" s="139">
        <f>SUM($G$36:G49)</f>
        <v>0.88596391641102723</v>
      </c>
      <c r="J49" s="140">
        <f t="shared" si="9"/>
        <v>7903.8784666235351</v>
      </c>
      <c r="K49" s="141">
        <f>SUM($J$36:J49)</f>
        <v>110745.48955137837</v>
      </c>
      <c r="L49" s="88">
        <v>94772.270483888511</v>
      </c>
      <c r="M49" s="72">
        <f t="shared" si="10"/>
        <v>0</v>
      </c>
      <c r="N49" s="147">
        <f t="shared" si="11"/>
        <v>0</v>
      </c>
      <c r="P49" s="51"/>
      <c r="Q49" s="50"/>
    </row>
    <row r="50" spans="4:17" x14ac:dyDescent="0.3">
      <c r="D50" s="135">
        <f>D49+1</f>
        <v>15</v>
      </c>
      <c r="E50" s="136">
        <f>IF(S28=0,S26,S28)</f>
        <v>120000</v>
      </c>
      <c r="F50" s="137">
        <f>E50*E11*S25</f>
        <v>93824.547779049637</v>
      </c>
      <c r="G50" s="138">
        <f t="shared" si="8"/>
        <v>6.2598717455658412E-2</v>
      </c>
      <c r="H50" s="137">
        <f>SUM($F$36:F50)</f>
        <v>1421729.7698740836</v>
      </c>
      <c r="I50" s="142">
        <f>SUM($G$36:G50)</f>
        <v>0.9485626338666856</v>
      </c>
      <c r="J50" s="140">
        <f t="shared" si="9"/>
        <v>7824.8396819573009</v>
      </c>
      <c r="K50" s="141">
        <f>SUM($J$36:J50)</f>
        <v>118570.32923333567</v>
      </c>
      <c r="L50" s="88">
        <v>93824.547779049637</v>
      </c>
      <c r="M50" s="72">
        <f t="shared" si="10"/>
        <v>0</v>
      </c>
      <c r="N50" s="147">
        <f t="shared" si="11"/>
        <v>0</v>
      </c>
      <c r="P50" s="76"/>
      <c r="Q50" s="50"/>
    </row>
    <row r="51" spans="4:17" ht="15" thickBot="1" x14ac:dyDescent="0.35">
      <c r="D51" s="135">
        <f t="shared" ref="D51" si="13">D50+1</f>
        <v>16</v>
      </c>
      <c r="E51" s="136">
        <f>IF(T28=0,T26,T28)</f>
        <v>120000</v>
      </c>
      <c r="F51" s="137">
        <f>E51*E11*T25*E22</f>
        <v>77095.630910045089</v>
      </c>
      <c r="G51" s="138">
        <f t="shared" si="8"/>
        <v>5.1437366133314517E-2</v>
      </c>
      <c r="H51" s="137">
        <f>SUM($F$36:F51)</f>
        <v>1498825.4007841286</v>
      </c>
      <c r="I51" s="142">
        <f>SUM($G$36:G51)</f>
        <v>1.0000000000000002</v>
      </c>
      <c r="J51" s="140">
        <f t="shared" si="9"/>
        <v>6429.6707666643142</v>
      </c>
      <c r="K51" s="141">
        <f>SUM($J$36:J51)</f>
        <v>124999.99999999999</v>
      </c>
      <c r="L51" s="88">
        <v>77095.630910045089</v>
      </c>
      <c r="M51" s="72">
        <f t="shared" si="10"/>
        <v>0</v>
      </c>
      <c r="N51" s="147">
        <f t="shared" si="11"/>
        <v>0</v>
      </c>
      <c r="P51" s="76"/>
      <c r="Q51" s="50"/>
    </row>
    <row r="52" spans="4:17" ht="15" thickBot="1" x14ac:dyDescent="0.35">
      <c r="D52" s="52" t="s">
        <v>39</v>
      </c>
      <c r="E52" s="53">
        <f>SUM(E36:E51)</f>
        <v>1920000</v>
      </c>
      <c r="F52" s="53">
        <f>SUM(F36:F51)</f>
        <v>1498825.4007841286</v>
      </c>
      <c r="G52" s="100">
        <f>SUM(G36:G51)</f>
        <v>1.0000000000000002</v>
      </c>
      <c r="H52" s="54">
        <f>IF(H51=F52,1,0)</f>
        <v>1</v>
      </c>
      <c r="I52" s="44"/>
      <c r="J52" s="55">
        <f>SUM(J36:J51)</f>
        <v>124999.99999999999</v>
      </c>
      <c r="K52" s="54">
        <f>IF(K51=J52,1,0)</f>
        <v>1</v>
      </c>
      <c r="L52" s="53">
        <f>SUM(L36:L51)</f>
        <v>1498825.4007841286</v>
      </c>
      <c r="M52" s="56"/>
      <c r="N52" s="77">
        <f>SUM(N36:N51)</f>
        <v>0</v>
      </c>
      <c r="O52" s="51"/>
      <c r="P52" s="51"/>
    </row>
    <row r="53" spans="4:17" x14ac:dyDescent="0.3"/>
    <row r="54" spans="4:17" x14ac:dyDescent="0.3"/>
    <row r="55" spans="4:17" ht="15" hidden="1" customHeight="1" outlineLevel="1" thickBot="1" x14ac:dyDescent="0.35">
      <c r="D55" s="96" t="s">
        <v>60</v>
      </c>
      <c r="H55" s="149" t="s">
        <v>56</v>
      </c>
      <c r="I55" s="149"/>
      <c r="L55" s="95"/>
      <c r="O55" s="73"/>
      <c r="P55" s="74"/>
    </row>
    <row r="56" spans="4:17" ht="14.4" hidden="1" customHeight="1" outlineLevel="1" x14ac:dyDescent="0.3">
      <c r="D56" s="150" t="s">
        <v>61</v>
      </c>
      <c r="E56" s="151"/>
      <c r="F56" s="152"/>
      <c r="L56" s="95"/>
    </row>
    <row r="57" spans="4:17" ht="45.75" hidden="1" customHeight="1" outlineLevel="1" thickBot="1" x14ac:dyDescent="0.35">
      <c r="D57" s="153"/>
      <c r="E57" s="154"/>
      <c r="F57" s="155"/>
      <c r="H57" s="99" t="s">
        <v>38</v>
      </c>
      <c r="I57" s="91" t="s">
        <v>45</v>
      </c>
      <c r="J57" s="91" t="s">
        <v>46</v>
      </c>
      <c r="K57" s="91" t="s">
        <v>48</v>
      </c>
      <c r="L57" s="91" t="s">
        <v>50</v>
      </c>
      <c r="M57" s="91" t="s">
        <v>22</v>
      </c>
      <c r="N57" s="99" t="s">
        <v>51</v>
      </c>
    </row>
    <row r="58" spans="4:17" ht="14.4" hidden="1" customHeight="1" outlineLevel="1" x14ac:dyDescent="0.3">
      <c r="D58" s="156"/>
      <c r="E58" s="157"/>
      <c r="F58" s="158"/>
      <c r="H58" s="46" t="str">
        <f>IFERROR(IF('Output Projections'!D36&lt;=$M$12,'Output Projections'!D36,""),0)</f>
        <v/>
      </c>
      <c r="I58" s="57">
        <f>IFERROR(IF($H58&lt;=$M$12,'Output Projections'!F36,0),0)</f>
        <v>18360</v>
      </c>
      <c r="J58" s="48">
        <f>IFERROR(IF($H58&lt;=$M$12,'Output Projections'!G36,""),0)</f>
        <v>1.2249592240960651E-2</v>
      </c>
      <c r="K58" s="47">
        <f>IFERROR(IF($H58&lt;=$M$12,'Output Projections'!J36,""),0)</f>
        <v>1531.1990301200813</v>
      </c>
      <c r="L58" s="47">
        <f>IFERROR(IF($H58&lt;=$M$12,'Output Projections'!L36,""),0)</f>
        <v>18360</v>
      </c>
      <c r="M58" s="48">
        <f>IF($H58=$M$12,$M$13,"")</f>
        <v>0</v>
      </c>
      <c r="N58" s="97">
        <f>IFERROR(IF($H58&lt;=$M$12,K58*M58,""),"")</f>
        <v>0</v>
      </c>
    </row>
    <row r="59" spans="4:17" hidden="1" outlineLevel="1" x14ac:dyDescent="0.3">
      <c r="H59" s="46" t="str">
        <f>IFERROR(IF('Output Projections'!D37&lt;=$M$12,'Output Projections'!D37,""),0)</f>
        <v/>
      </c>
      <c r="I59" s="57">
        <f>IFERROR(IF($H59&lt;=$M$12,'Output Projections'!F37,0),0)</f>
        <v>106920</v>
      </c>
      <c r="J59" s="48">
        <f>IFERROR(IF($H59&lt;=$M$12,'Output Projections'!G37,""),0)</f>
        <v>7.1335860697359088E-2</v>
      </c>
      <c r="K59" s="47">
        <f>IFERROR(IF($H59&lt;=$M$12,'Output Projections'!J37,""),0)</f>
        <v>8916.9825871698849</v>
      </c>
      <c r="L59" s="47">
        <f>IFERROR(IF($H59&lt;=$M$12,'Output Projections'!L37,""),0)</f>
        <v>106920</v>
      </c>
      <c r="M59" s="48">
        <f t="shared" ref="M59:M72" si="14">IF($H59=$M$12,$M$13,"")</f>
        <v>0</v>
      </c>
      <c r="N59" s="97">
        <f t="shared" ref="N59:N72" si="15">IFERROR(IF($H59&lt;=$M$12,K59*M59,""),"")</f>
        <v>0</v>
      </c>
    </row>
    <row r="60" spans="4:17" hidden="1" outlineLevel="1" x14ac:dyDescent="0.3">
      <c r="H60" s="46" t="str">
        <f>IFERROR(IF('Output Projections'!D38&lt;=$M$12,'Output Projections'!D38,""),0)</f>
        <v/>
      </c>
      <c r="I60" s="57">
        <f>IFERROR(IF($H60&lt;=$M$12,'Output Projections'!F38,0),0)</f>
        <v>105850.8</v>
      </c>
      <c r="J60" s="48">
        <f>IFERROR(IF($H60&lt;=$M$12,'Output Projections'!G38,""),0)</f>
        <v>7.0622502090385494E-2</v>
      </c>
      <c r="K60" s="47">
        <f>IFERROR(IF($H60&lt;=$M$12,'Output Projections'!J38,""),0)</f>
        <v>8827.8127612981862</v>
      </c>
      <c r="L60" s="47">
        <f>IFERROR(IF($H60&lt;=$M$12,'Output Projections'!L38,""),0)</f>
        <v>105850.8</v>
      </c>
      <c r="M60" s="48">
        <f t="shared" si="14"/>
        <v>0</v>
      </c>
      <c r="N60" s="97">
        <f t="shared" si="15"/>
        <v>0</v>
      </c>
    </row>
    <row r="61" spans="4:17" hidden="1" outlineLevel="1" x14ac:dyDescent="0.3">
      <c r="H61" s="46" t="str">
        <f>IFERROR(IF('Output Projections'!D39&lt;=$M$12,'Output Projections'!D39,""),0)</f>
        <v/>
      </c>
      <c r="I61" s="57">
        <f>IFERROR(IF($H61&lt;=$M$12,'Output Projections'!F39,0),0)</f>
        <v>104792.29199999999</v>
      </c>
      <c r="J61" s="48">
        <f>IFERROR(IF($H61&lt;=$M$12,'Output Projections'!G39,""),0)</f>
        <v>6.9916277069481628E-2</v>
      </c>
      <c r="K61" s="47">
        <f>IFERROR(IF($H61&lt;=$M$12,'Output Projections'!J39,""),0)</f>
        <v>8739.5346336852035</v>
      </c>
      <c r="L61" s="47">
        <f>IFERROR(IF($H61&lt;=$M$12,'Output Projections'!L39,""),0)</f>
        <v>104792.29199999999</v>
      </c>
      <c r="M61" s="48">
        <f t="shared" si="14"/>
        <v>0</v>
      </c>
      <c r="N61" s="97">
        <f t="shared" si="15"/>
        <v>0</v>
      </c>
    </row>
    <row r="62" spans="4:17" hidden="1" outlineLevel="1" x14ac:dyDescent="0.3">
      <c r="H62" s="46" t="str">
        <f>IFERROR(IF('Output Projections'!D40&lt;=$M$12,'Output Projections'!D40,""),0)</f>
        <v/>
      </c>
      <c r="I62" s="57">
        <f>IFERROR(IF($H62&lt;=$M$12,'Output Projections'!F40,0),0)</f>
        <v>103744.36907999999</v>
      </c>
      <c r="J62" s="48">
        <f>IFERROR(IF($H62&lt;=$M$12,'Output Projections'!G40,""),0)</f>
        <v>6.9217114298786825E-2</v>
      </c>
      <c r="K62" s="47">
        <f>IFERROR(IF($H62&lt;=$M$12,'Output Projections'!J40,""),0)</f>
        <v>8652.139287348351</v>
      </c>
      <c r="L62" s="47">
        <f>IFERROR(IF($H62&lt;=$M$12,'Output Projections'!L40,""),0)</f>
        <v>103744.36907999999</v>
      </c>
      <c r="M62" s="48">
        <f t="shared" si="14"/>
        <v>0</v>
      </c>
      <c r="N62" s="97">
        <f t="shared" si="15"/>
        <v>0</v>
      </c>
    </row>
    <row r="63" spans="4:17" hidden="1" outlineLevel="1" x14ac:dyDescent="0.3">
      <c r="H63" s="46" t="str">
        <f>IFERROR(IF('Output Projections'!D41&lt;=$M$12,'Output Projections'!D41,""),0)</f>
        <v/>
      </c>
      <c r="I63" s="57">
        <f>IFERROR(IF($H63&lt;=$M$12,'Output Projections'!F41,0),0)</f>
        <v>102706.92538919998</v>
      </c>
      <c r="J63" s="48">
        <f>IFERROR(IF($H63&lt;=$M$12,'Output Projections'!G41,""),0)</f>
        <v>6.8524943155798948E-2</v>
      </c>
      <c r="K63" s="47">
        <f>IFERROR(IF($H63&lt;=$M$12,'Output Projections'!J41,""),0)</f>
        <v>8565.6178944748681</v>
      </c>
      <c r="L63" s="47">
        <f>IFERROR(IF($H63&lt;=$M$12,'Output Projections'!L41,""),0)</f>
        <v>102706.92538919998</v>
      </c>
      <c r="M63" s="48">
        <f t="shared" si="14"/>
        <v>0</v>
      </c>
      <c r="N63" s="97">
        <f t="shared" si="15"/>
        <v>0</v>
      </c>
    </row>
    <row r="64" spans="4:17" hidden="1" outlineLevel="1" x14ac:dyDescent="0.3">
      <c r="H64" s="46" t="str">
        <f>IFERROR(IF('Output Projections'!D42&lt;=$M$12,'Output Projections'!D42,""),0)</f>
        <v/>
      </c>
      <c r="I64" s="57">
        <f>IFERROR(IF($H64&lt;=$M$12,'Output Projections'!F42,0),0)</f>
        <v>101679.85613530799</v>
      </c>
      <c r="J64" s="48">
        <f>IFERROR(IF($H64&lt;=$M$12,'Output Projections'!G42,""),0)</f>
        <v>6.7839693724240951E-2</v>
      </c>
      <c r="K64" s="47">
        <f>IFERROR(IF($H64&lt;=$M$12,'Output Projections'!J42,""),0)</f>
        <v>8479.9617155301185</v>
      </c>
      <c r="L64" s="47">
        <f>IFERROR(IF($H64&lt;=$M$12,'Output Projections'!L42,""),0)</f>
        <v>101679.85613530799</v>
      </c>
      <c r="M64" s="48">
        <f t="shared" si="14"/>
        <v>0</v>
      </c>
      <c r="N64" s="97">
        <f t="shared" si="15"/>
        <v>0</v>
      </c>
    </row>
    <row r="65" spans="8:14" hidden="1" outlineLevel="1" x14ac:dyDescent="0.3">
      <c r="H65" s="46" t="str">
        <f>IFERROR(IF('Output Projections'!D43&lt;=$M$12,'Output Projections'!D43,""),0)</f>
        <v/>
      </c>
      <c r="I65" s="57">
        <f>IFERROR(IF($H65&lt;=$M$12,'Output Projections'!F43,0),0)</f>
        <v>100663.05757395491</v>
      </c>
      <c r="J65" s="48">
        <f>IFERROR(IF($H65&lt;=$M$12,'Output Projections'!G43,""),0)</f>
        <v>6.7161296786998545E-2</v>
      </c>
      <c r="K65" s="47">
        <f>IFERROR(IF($H65&lt;=$M$12,'Output Projections'!J43,""),0)</f>
        <v>8395.162098374818</v>
      </c>
      <c r="L65" s="47">
        <f>IFERROR(IF($H65&lt;=$M$12,'Output Projections'!L43,""),0)</f>
        <v>100663.05757395491</v>
      </c>
      <c r="M65" s="48">
        <f t="shared" si="14"/>
        <v>0</v>
      </c>
      <c r="N65" s="97">
        <f t="shared" si="15"/>
        <v>0</v>
      </c>
    </row>
    <row r="66" spans="8:14" hidden="1" outlineLevel="1" x14ac:dyDescent="0.3">
      <c r="H66" s="46" t="str">
        <f>IFERROR(IF('Output Projections'!D44&lt;=$M$12,'Output Projections'!D44,""),0)</f>
        <v/>
      </c>
      <c r="I66" s="57">
        <f>IFERROR(IF($H66&lt;=$M$12,'Output Projections'!F44,0),0)</f>
        <v>99656.426998215349</v>
      </c>
      <c r="J66" s="48">
        <f>IFERROR(IF($H66&lt;=$M$12,'Output Projections'!G44,""),0)</f>
        <v>6.6489683819128564E-2</v>
      </c>
      <c r="K66" s="47">
        <f>IFERROR(IF($H66&lt;=$M$12,'Output Projections'!J44,""),0)</f>
        <v>8311.2104773910687</v>
      </c>
      <c r="L66" s="47">
        <f>IFERROR(IF($H66&lt;=$M$12,'Output Projections'!L44,""),0)</f>
        <v>99656.426998215349</v>
      </c>
      <c r="M66" s="48">
        <f t="shared" si="14"/>
        <v>0</v>
      </c>
      <c r="N66" s="97">
        <f t="shared" si="15"/>
        <v>0</v>
      </c>
    </row>
    <row r="67" spans="8:14" hidden="1" outlineLevel="1" x14ac:dyDescent="0.3">
      <c r="H67" s="46" t="str">
        <f>IFERROR(IF('Output Projections'!D45&lt;=$M$12,'Output Projections'!D45,""),0)</f>
        <v/>
      </c>
      <c r="I67" s="57">
        <f>IFERROR(IF($H67&lt;=$M$12,'Output Projections'!F45,0),0)</f>
        <v>98659.862728233202</v>
      </c>
      <c r="J67" s="48">
        <f>IFERROR(IF($H67&lt;=$M$12,'Output Projections'!G45,""),0)</f>
        <v>6.5824786980937272E-2</v>
      </c>
      <c r="K67" s="47">
        <f>IFERROR(IF($H67&lt;=$M$12,'Output Projections'!J45,""),0)</f>
        <v>8228.0983726171598</v>
      </c>
      <c r="L67" s="47">
        <f>IFERROR(IF($H67&lt;=$M$12,'Output Projections'!L45,""),0)</f>
        <v>98659.862728233202</v>
      </c>
      <c r="M67" s="48">
        <f t="shared" si="14"/>
        <v>0</v>
      </c>
      <c r="N67" s="97">
        <f t="shared" si="15"/>
        <v>0</v>
      </c>
    </row>
    <row r="68" spans="8:14" hidden="1" outlineLevel="1" x14ac:dyDescent="0.3">
      <c r="H68" s="46" t="str">
        <f>IFERROR(IF('Output Projections'!D46&lt;=$M$12,'Output Projections'!D46,""),0)</f>
        <v/>
      </c>
      <c r="I68" s="57">
        <f>IFERROR(IF($H68&lt;=$M$12,'Output Projections'!F46,0),0)</f>
        <v>97673.264100950866</v>
      </c>
      <c r="J68" s="48">
        <f>IFERROR(IF($H68&lt;=$M$12,'Output Projections'!G46,""),0)</f>
        <v>6.5166539111127894E-2</v>
      </c>
      <c r="K68" s="47">
        <f>IFERROR(IF($H68&lt;=$M$12,'Output Projections'!J46,""),0)</f>
        <v>8145.8173888909869</v>
      </c>
      <c r="L68" s="47">
        <f>IFERROR(IF($H68&lt;=$M$12,'Output Projections'!L46,""),0)</f>
        <v>97673.264100950866</v>
      </c>
      <c r="M68" s="48">
        <f t="shared" si="14"/>
        <v>0</v>
      </c>
      <c r="N68" s="97">
        <f t="shared" si="15"/>
        <v>0</v>
      </c>
    </row>
    <row r="69" spans="8:14" hidden="1" outlineLevel="1" x14ac:dyDescent="0.3">
      <c r="H69" s="46" t="str">
        <f>IFERROR(IF('Output Projections'!D47&lt;=$M$12,'Output Projections'!D47,""),0)</f>
        <v/>
      </c>
      <c r="I69" s="57">
        <f>IFERROR(IF($H69&lt;=$M$12,'Output Projections'!F47,0),0)</f>
        <v>96696.531459941354</v>
      </c>
      <c r="J69" s="48">
        <f>IFERROR(IF($H69&lt;=$M$12,'Output Projections'!G47,""),0)</f>
        <v>6.4514873720016616E-2</v>
      </c>
      <c r="K69" s="47">
        <f>IFERROR(IF($H69&lt;=$M$12,'Output Projections'!J47,""),0)</f>
        <v>8064.3592150020768</v>
      </c>
      <c r="L69" s="47">
        <f>IFERROR(IF($H69&lt;=$M$12,'Output Projections'!L47,""),0)</f>
        <v>96696.531459941354</v>
      </c>
      <c r="M69" s="48">
        <f t="shared" si="14"/>
        <v>0</v>
      </c>
      <c r="N69" s="97">
        <f t="shared" si="15"/>
        <v>0</v>
      </c>
    </row>
    <row r="70" spans="8:14" hidden="1" outlineLevel="1" x14ac:dyDescent="0.3">
      <c r="H70" s="46" t="str">
        <f>IFERROR(IF('Output Projections'!D48&lt;=$M$12,'Output Projections'!D48,""),0)</f>
        <v/>
      </c>
      <c r="I70" s="57">
        <f>IFERROR(IF($H70&lt;=$M$12,'Output Projections'!F48,0),0)</f>
        <v>95729.566145341945</v>
      </c>
      <c r="J70" s="48">
        <f>IFERROR(IF($H70&lt;=$M$12,'Output Projections'!G48,""),0)</f>
        <v>6.3869724982816456E-2</v>
      </c>
      <c r="K70" s="47">
        <f>IFERROR(IF($H70&lt;=$M$12,'Output Projections'!J48,""),0)</f>
        <v>7983.7156228520571</v>
      </c>
      <c r="L70" s="47">
        <f>IFERROR(IF($H70&lt;=$M$12,'Output Projections'!L48,""),0)</f>
        <v>95729.566145341945</v>
      </c>
      <c r="M70" s="48">
        <f t="shared" si="14"/>
        <v>0</v>
      </c>
      <c r="N70" s="97">
        <f t="shared" si="15"/>
        <v>0</v>
      </c>
    </row>
    <row r="71" spans="8:14" hidden="1" outlineLevel="1" x14ac:dyDescent="0.3">
      <c r="H71" s="46" t="str">
        <f>IFERROR(IF('Output Projections'!D49&lt;=$M$12,'Output Projections'!D49,""),0)</f>
        <v/>
      </c>
      <c r="I71" s="57">
        <f>IFERROR(IF($H71&lt;=$M$12,'Output Projections'!F49,0),0)</f>
        <v>94772.270483888511</v>
      </c>
      <c r="J71" s="48">
        <f>IFERROR(IF($H71&lt;=$M$12,'Output Projections'!G49,""),0)</f>
        <v>6.3231027732988276E-2</v>
      </c>
      <c r="K71" s="47">
        <f>IFERROR(IF($H71&lt;=$M$12,'Output Projections'!J49,""),0)</f>
        <v>7903.8784666235351</v>
      </c>
      <c r="L71" s="47">
        <f>IFERROR(IF($H71&lt;=$M$12,'Output Projections'!L49,""),0)</f>
        <v>94772.270483888511</v>
      </c>
      <c r="M71" s="48">
        <f t="shared" si="14"/>
        <v>0</v>
      </c>
      <c r="N71" s="97">
        <f t="shared" si="15"/>
        <v>0</v>
      </c>
    </row>
    <row r="72" spans="8:14" hidden="1" outlineLevel="1" x14ac:dyDescent="0.3">
      <c r="H72" s="46" t="str">
        <f>IFERROR(IF('Output Projections'!D50&lt;=$M$12,'Output Projections'!D50,""),0)</f>
        <v/>
      </c>
      <c r="I72" s="57">
        <f>IFERROR(IF($H72&lt;=$M$12,'Output Projections'!F50,0),0)</f>
        <v>93824.547779049637</v>
      </c>
      <c r="J72" s="48">
        <f>IFERROR(IF($H72&lt;=$M$12,'Output Projections'!G50,""),0)</f>
        <v>6.2598717455658412E-2</v>
      </c>
      <c r="K72" s="47">
        <f>IFERROR(IF($H72&lt;=$M$12,'Output Projections'!J50,""),0)</f>
        <v>7824.8396819573009</v>
      </c>
      <c r="L72" s="47">
        <f>IFERROR(IF($H72&lt;=$M$12,'Output Projections'!L50,""),0)</f>
        <v>93824.547779049637</v>
      </c>
      <c r="M72" s="48">
        <f t="shared" si="14"/>
        <v>0</v>
      </c>
      <c r="N72" s="97">
        <f t="shared" si="15"/>
        <v>0</v>
      </c>
    </row>
    <row r="73" spans="8:14" ht="15" hidden="1" outlineLevel="1" thickBot="1" x14ac:dyDescent="0.35">
      <c r="H73" s="52" t="s">
        <v>39</v>
      </c>
      <c r="I73" s="58">
        <f t="shared" ref="I73:N73" si="16">SUM(I58:I72)</f>
        <v>1421729.7698740836</v>
      </c>
      <c r="J73" s="58">
        <f t="shared" si="16"/>
        <v>0.9485626338666856</v>
      </c>
      <c r="K73" s="58">
        <f t="shared" si="16"/>
        <v>118570.32923333567</v>
      </c>
      <c r="L73" s="58">
        <f t="shared" si="16"/>
        <v>1421729.7698740836</v>
      </c>
      <c r="M73" s="58">
        <f t="shared" si="16"/>
        <v>0</v>
      </c>
      <c r="N73" s="98">
        <f t="shared" si="16"/>
        <v>0</v>
      </c>
    </row>
    <row r="74" spans="8:14" hidden="1" outlineLevel="1" x14ac:dyDescent="0.3"/>
    <row r="75" spans="8:14" collapsed="1" x14ac:dyDescent="0.3"/>
    <row r="76" spans="8:14" x14ac:dyDescent="0.3"/>
    <row r="91" x14ac:dyDescent="0.3"/>
    <row r="92" x14ac:dyDescent="0.3"/>
    <row r="93" x14ac:dyDescent="0.3"/>
    <row r="94" x14ac:dyDescent="0.3"/>
    <row r="95" x14ac:dyDescent="0.3"/>
    <row r="96" x14ac:dyDescent="0.3"/>
  </sheetData>
  <mergeCells count="2">
    <mergeCell ref="H55:I55"/>
    <mergeCell ref="D56:F58"/>
  </mergeCells>
  <conditionalFormatting sqref="H52">
    <cfRule type="colorScale" priority="2">
      <colorScale>
        <cfvo type="num" val="0"/>
        <cfvo type="num" val="1"/>
        <color rgb="FFC00000"/>
        <color rgb="FF92D050"/>
      </colorScale>
    </cfRule>
  </conditionalFormatting>
  <conditionalFormatting sqref="K52">
    <cfRule type="colorScale" priority="1">
      <colorScale>
        <cfvo type="num" val="0"/>
        <cfvo type="num" val="1"/>
        <color rgb="FFC00000"/>
        <color rgb="FF92D050"/>
      </colorScale>
    </cfRule>
  </conditionalFormatting>
  <dataValidations count="6">
    <dataValidation type="decimal" allowBlank="1" showInputMessage="1" showErrorMessage="1" sqref="J13 M13" xr:uid="{00000000-0002-0000-0000-000001000000}">
      <formula1>0</formula1>
      <formula2>1</formula2>
    </dataValidation>
    <dataValidation type="decimal" operator="lessThanOrEqual" allowBlank="1" showInputMessage="1" showErrorMessage="1" sqref="K5" xr:uid="{00000000-0002-0000-0000-000002000000}">
      <formula1>1.25</formula1>
    </dataValidation>
    <dataValidation type="decimal" operator="lessThanOrEqual" allowBlank="1" showInputMessage="1" showErrorMessage="1" sqref="E14" xr:uid="{00000000-0002-0000-0000-000003000000}">
      <formula1>5</formula1>
    </dataValidation>
    <dataValidation type="decimal" allowBlank="1" showInputMessage="1" showErrorMessage="1" sqref="E16" xr:uid="{00000000-0002-0000-0000-000004000000}">
      <formula1>0.025</formula1>
      <formula2>0.5</formula2>
    </dataValidation>
    <dataValidation type="list" allowBlank="1" showInputMessage="1" showErrorMessage="1" sqref="M12 J12 E12" xr:uid="{00000000-0002-0000-0000-000000000000}">
      <formula1>$D$36:$D$51</formula1>
    </dataValidation>
    <dataValidation type="whole" allowBlank="1" showInputMessage="1" showErrorMessage="1" sqref="L36:L51" xr:uid="{00000000-0002-0000-0000-000005000000}">
      <formula1>0</formula1>
      <formula2>E36*1.2</formula2>
    </dataValidation>
  </dataValidations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3456-8C0E-4723-B5F9-7EE37451D8A9}">
  <dimension ref="A1:C14"/>
  <sheetViews>
    <sheetView workbookViewId="0">
      <selection activeCell="G11" sqref="G11"/>
    </sheetView>
  </sheetViews>
  <sheetFormatPr defaultRowHeight="14.4" x14ac:dyDescent="0.3"/>
  <cols>
    <col min="2" max="2" width="9.5546875" customWidth="1"/>
    <col min="3" max="3" width="10.33203125" customWidth="1"/>
  </cols>
  <sheetData>
    <row r="1" spans="1:3" x14ac:dyDescent="0.3">
      <c r="A1" t="s">
        <v>72</v>
      </c>
      <c r="B1" t="s">
        <v>73</v>
      </c>
      <c r="C1" t="s">
        <v>74</v>
      </c>
    </row>
    <row r="2" spans="1:3" x14ac:dyDescent="0.3">
      <c r="A2" t="s">
        <v>69</v>
      </c>
      <c r="B2" s="50">
        <v>0.05</v>
      </c>
      <c r="C2" s="115">
        <f>SUM(B2:B13)</f>
        <v>1</v>
      </c>
    </row>
    <row r="3" spans="1:3" x14ac:dyDescent="0.3">
      <c r="A3" t="s">
        <v>70</v>
      </c>
      <c r="B3" s="50">
        <v>7.0000000000000007E-2</v>
      </c>
      <c r="C3" s="115">
        <f t="shared" ref="C3:C13" si="0">SUM(B3:B14)</f>
        <v>0.95</v>
      </c>
    </row>
    <row r="4" spans="1:3" x14ac:dyDescent="0.3">
      <c r="A4" t="s">
        <v>71</v>
      </c>
      <c r="B4" s="50">
        <v>0.09</v>
      </c>
      <c r="C4" s="115">
        <f t="shared" si="0"/>
        <v>0.88000000000000012</v>
      </c>
    </row>
    <row r="5" spans="1:3" x14ac:dyDescent="0.3">
      <c r="A5" t="s">
        <v>75</v>
      </c>
      <c r="B5" s="50">
        <v>0.1</v>
      </c>
      <c r="C5" s="115">
        <f t="shared" si="0"/>
        <v>0.79</v>
      </c>
    </row>
    <row r="6" spans="1:3" x14ac:dyDescent="0.3">
      <c r="A6" t="s">
        <v>76</v>
      </c>
      <c r="B6" s="50">
        <v>0.11</v>
      </c>
      <c r="C6" s="115">
        <f t="shared" si="0"/>
        <v>0.69000000000000017</v>
      </c>
    </row>
    <row r="7" spans="1:3" x14ac:dyDescent="0.3">
      <c r="A7" t="s">
        <v>77</v>
      </c>
      <c r="B7" s="50">
        <v>0.11</v>
      </c>
      <c r="C7" s="115">
        <f t="shared" si="0"/>
        <v>0.58000000000000007</v>
      </c>
    </row>
    <row r="8" spans="1:3" x14ac:dyDescent="0.3">
      <c r="A8" t="s">
        <v>78</v>
      </c>
      <c r="B8" s="50">
        <v>0.11</v>
      </c>
      <c r="C8" s="115">
        <f t="shared" si="0"/>
        <v>0.47000000000000003</v>
      </c>
    </row>
    <row r="9" spans="1:3" x14ac:dyDescent="0.3">
      <c r="A9" t="s">
        <v>79</v>
      </c>
      <c r="B9" s="50">
        <v>0.1</v>
      </c>
      <c r="C9" s="115">
        <f t="shared" si="0"/>
        <v>0.36</v>
      </c>
    </row>
    <row r="10" spans="1:3" x14ac:dyDescent="0.3">
      <c r="A10" t="s">
        <v>80</v>
      </c>
      <c r="B10" s="50">
        <v>0.09</v>
      </c>
      <c r="C10" s="115">
        <f t="shared" si="0"/>
        <v>0.26</v>
      </c>
    </row>
    <row r="11" spans="1:3" x14ac:dyDescent="0.3">
      <c r="A11" t="s">
        <v>81</v>
      </c>
      <c r="B11" s="50">
        <v>7.0000000000000007E-2</v>
      </c>
      <c r="C11" s="115">
        <f t="shared" si="0"/>
        <v>0.17</v>
      </c>
    </row>
    <row r="12" spans="1:3" x14ac:dyDescent="0.3">
      <c r="A12" t="s">
        <v>82</v>
      </c>
      <c r="B12" s="50">
        <v>0.05</v>
      </c>
      <c r="C12" s="115">
        <f t="shared" si="0"/>
        <v>0.1</v>
      </c>
    </row>
    <row r="13" spans="1:3" x14ac:dyDescent="0.3">
      <c r="A13" t="s">
        <v>83</v>
      </c>
      <c r="B13" s="50">
        <v>0.05</v>
      </c>
      <c r="C13" s="115">
        <f t="shared" si="0"/>
        <v>0.05</v>
      </c>
    </row>
    <row r="14" spans="1:3" x14ac:dyDescent="0.3">
      <c r="B14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Output Projections</vt:lpstr>
      <vt:lpstr>Sheet1</vt:lpstr>
      <vt:lpstr>'Output Projections'!MWh_per_kW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III</dc:creator>
  <cp:lastModifiedBy>Kalen Roach</cp:lastModifiedBy>
  <cp:lastPrinted>2020-02-10T17:17:50Z</cp:lastPrinted>
  <dcterms:created xsi:type="dcterms:W3CDTF">2019-03-01T18:25:56Z</dcterms:created>
  <dcterms:modified xsi:type="dcterms:W3CDTF">2021-09-07T21:24:07Z</dcterms:modified>
</cp:coreProperties>
</file>