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veic-my.sharepoint.com/personal/kroach_dcseu_com/Documents/Documents/"/>
    </mc:Choice>
  </mc:AlternateContent>
  <xr:revisionPtr revIDLastSave="0" documentId="8_{7BC7BCDE-A77D-479A-A645-D9C5DAD919DC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Output Projections" sheetId="1" r:id="rId1"/>
    <sheet name="Sheet1" sheetId="2" state="hidden" r:id="rId2"/>
  </sheets>
  <externalReferences>
    <externalReference r:id="rId3"/>
  </externalReferences>
  <definedNames>
    <definedName name="Confidence_lvl">0.9</definedName>
    <definedName name="Hrs_Yr">8760</definedName>
    <definedName name="kWh_per_kW">'[1]Total Portfolio'!$E$10</definedName>
    <definedName name="Max_Incentive_lvl">1.25</definedName>
    <definedName name="MWh_per_kW" localSheetId="0">'Output Projections'!$E$9</definedName>
    <definedName name="MWh_per_kW">#REF!</definedName>
    <definedName name="Program_Term">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2" l="1"/>
  <c r="C12" i="2"/>
  <c r="C11" i="2"/>
  <c r="C10" i="2"/>
  <c r="C9" i="2"/>
  <c r="C8" i="2"/>
  <c r="C7" i="2"/>
  <c r="C6" i="2"/>
  <c r="C5" i="2"/>
  <c r="C4" i="2"/>
  <c r="C3" i="2"/>
  <c r="C2" i="2"/>
  <c r="L82" i="1"/>
  <c r="H82" i="1"/>
  <c r="L63" i="1"/>
  <c r="H62" i="1"/>
  <c r="L62" i="1" s="1"/>
  <c r="L56" i="1"/>
  <c r="D37" i="1"/>
  <c r="D36" i="1"/>
  <c r="H63" i="1" s="1"/>
  <c r="Y25" i="1"/>
  <c r="E25" i="1"/>
  <c r="G24" i="1"/>
  <c r="G25" i="1" s="1"/>
  <c r="G26" i="1" s="1"/>
  <c r="F24" i="1"/>
  <c r="F25" i="1" s="1"/>
  <c r="F26" i="1" s="1"/>
  <c r="E20" i="1"/>
  <c r="E21" i="1" s="1"/>
  <c r="E22" i="1" s="1"/>
  <c r="E19" i="1"/>
  <c r="E15" i="1"/>
  <c r="E13" i="1"/>
  <c r="J11" i="1"/>
  <c r="J10" i="1"/>
  <c r="J14" i="1" s="1"/>
  <c r="E10" i="1"/>
  <c r="E8" i="1"/>
  <c r="K6" i="1"/>
  <c r="E36" i="1" l="1"/>
  <c r="F28" i="1"/>
  <c r="F36" i="1" s="1"/>
  <c r="E37" i="1"/>
  <c r="G28" i="1"/>
  <c r="F37" i="1" s="1"/>
  <c r="E26" i="1"/>
  <c r="H24" i="1"/>
  <c r="Y26" i="1"/>
  <c r="I63" i="1"/>
  <c r="M63" i="1"/>
  <c r="H64" i="1"/>
  <c r="D38" i="1"/>
  <c r="M82" i="1"/>
  <c r="M62" i="1"/>
  <c r="L64" i="1" l="1"/>
  <c r="I64" i="1"/>
  <c r="M64" i="1"/>
  <c r="E55" i="1"/>
  <c r="Y28" i="1"/>
  <c r="F55" i="1" s="1"/>
  <c r="E35" i="1"/>
  <c r="E28" i="1"/>
  <c r="M36" i="1"/>
  <c r="M37" i="1"/>
  <c r="H65" i="1"/>
  <c r="D39" i="1"/>
  <c r="I24" i="1"/>
  <c r="H25" i="1"/>
  <c r="H26" i="1" s="1"/>
  <c r="F35" i="1" l="1"/>
  <c r="F29" i="1"/>
  <c r="E29" i="1"/>
  <c r="G29" i="1"/>
  <c r="E38" i="1"/>
  <c r="H28" i="1"/>
  <c r="F38" i="1" s="1"/>
  <c r="J24" i="1"/>
  <c r="I25" i="1"/>
  <c r="I26" i="1" s="1"/>
  <c r="D40" i="1"/>
  <c r="H66" i="1"/>
  <c r="M65" i="1"/>
  <c r="I65" i="1"/>
  <c r="L65" i="1"/>
  <c r="M55" i="1"/>
  <c r="I82" i="1"/>
  <c r="M66" i="1" l="1"/>
  <c r="L66" i="1"/>
  <c r="M38" i="1"/>
  <c r="H67" i="1"/>
  <c r="D41" i="1"/>
  <c r="H29" i="1"/>
  <c r="K24" i="1"/>
  <c r="J25" i="1"/>
  <c r="J26" i="1" s="1"/>
  <c r="E39" i="1"/>
  <c r="I28" i="1"/>
  <c r="H38" i="1"/>
  <c r="H36" i="1"/>
  <c r="H35" i="1"/>
  <c r="M35" i="1"/>
  <c r="H37" i="1"/>
  <c r="I62" i="1"/>
  <c r="M67" i="1" l="1"/>
  <c r="L67" i="1"/>
  <c r="F39" i="1"/>
  <c r="K25" i="1"/>
  <c r="K26" i="1" s="1"/>
  <c r="L24" i="1"/>
  <c r="E40" i="1"/>
  <c r="J28" i="1"/>
  <c r="H68" i="1"/>
  <c r="D42" i="1"/>
  <c r="I29" i="1"/>
  <c r="K28" i="1" l="1"/>
  <c r="E41" i="1"/>
  <c r="F40" i="1"/>
  <c r="K29" i="1"/>
  <c r="J29" i="1"/>
  <c r="M39" i="1"/>
  <c r="I66" i="1"/>
  <c r="H40" i="1"/>
  <c r="H39" i="1"/>
  <c r="H69" i="1"/>
  <c r="D43" i="1"/>
  <c r="L25" i="1"/>
  <c r="L26" i="1" s="1"/>
  <c r="M24" i="1"/>
  <c r="L68" i="1"/>
  <c r="M68" i="1"/>
  <c r="M69" i="1" l="1"/>
  <c r="L69" i="1"/>
  <c r="E42" i="1"/>
  <c r="L28" i="1"/>
  <c r="M40" i="1"/>
  <c r="I67" i="1"/>
  <c r="M25" i="1"/>
  <c r="M26" i="1" s="1"/>
  <c r="N24" i="1"/>
  <c r="D44" i="1"/>
  <c r="H70" i="1"/>
  <c r="F41" i="1"/>
  <c r="F42" i="1" l="1"/>
  <c r="L29" i="1"/>
  <c r="M41" i="1"/>
  <c r="I68" i="1"/>
  <c r="H42" i="1"/>
  <c r="H41" i="1"/>
  <c r="H71" i="1"/>
  <c r="D45" i="1"/>
  <c r="O24" i="1"/>
  <c r="N25" i="1"/>
  <c r="N26" i="1" s="1"/>
  <c r="M70" i="1"/>
  <c r="L70" i="1"/>
  <c r="E43" i="1"/>
  <c r="M28" i="1"/>
  <c r="F43" i="1" l="1"/>
  <c r="M71" i="1"/>
  <c r="L71" i="1"/>
  <c r="H72" i="1"/>
  <c r="D46" i="1"/>
  <c r="E44" i="1"/>
  <c r="N28" i="1"/>
  <c r="M29" i="1"/>
  <c r="M42" i="1"/>
  <c r="I69" i="1"/>
  <c r="O25" i="1"/>
  <c r="O26" i="1" s="1"/>
  <c r="P24" i="1"/>
  <c r="F44" i="1" l="1"/>
  <c r="P25" i="1"/>
  <c r="P26" i="1" s="1"/>
  <c r="Q24" i="1"/>
  <c r="L72" i="1"/>
  <c r="M72" i="1"/>
  <c r="O28" i="1"/>
  <c r="E45" i="1"/>
  <c r="N29" i="1"/>
  <c r="H73" i="1"/>
  <c r="D47" i="1"/>
  <c r="M43" i="1"/>
  <c r="H44" i="1"/>
  <c r="I70" i="1"/>
  <c r="H43" i="1"/>
  <c r="E46" i="1" l="1"/>
  <c r="P28" i="1"/>
  <c r="D48" i="1"/>
  <c r="H74" i="1"/>
  <c r="F45" i="1"/>
  <c r="O29" i="1"/>
  <c r="M73" i="1"/>
  <c r="L73" i="1"/>
  <c r="Q25" i="1"/>
  <c r="Q26" i="1" s="1"/>
  <c r="R24" i="1"/>
  <c r="M44" i="1"/>
  <c r="I71" i="1"/>
  <c r="S24" i="1" l="1"/>
  <c r="R25" i="1"/>
  <c r="R26" i="1" s="1"/>
  <c r="H75" i="1"/>
  <c r="D49" i="1"/>
  <c r="M74" i="1"/>
  <c r="L74" i="1"/>
  <c r="F46" i="1"/>
  <c r="P29" i="1"/>
  <c r="E47" i="1"/>
  <c r="Q28" i="1"/>
  <c r="M45" i="1"/>
  <c r="H46" i="1"/>
  <c r="H45" i="1"/>
  <c r="I72" i="1"/>
  <c r="F47" i="1" l="1"/>
  <c r="Q29" i="1"/>
  <c r="M46" i="1"/>
  <c r="I73" i="1"/>
  <c r="M75" i="1"/>
  <c r="L75" i="1"/>
  <c r="H76" i="1"/>
  <c r="D50" i="1"/>
  <c r="E48" i="1"/>
  <c r="R28" i="1"/>
  <c r="S25" i="1"/>
  <c r="S26" i="1" s="1"/>
  <c r="T24" i="1"/>
  <c r="L76" i="1" l="1"/>
  <c r="M76" i="1"/>
  <c r="F48" i="1"/>
  <c r="R29" i="1"/>
  <c r="U24" i="1"/>
  <c r="T25" i="1"/>
  <c r="T26" i="1" s="1"/>
  <c r="S28" i="1"/>
  <c r="E49" i="1"/>
  <c r="H77" i="1"/>
  <c r="D51" i="1"/>
  <c r="M47" i="1"/>
  <c r="H47" i="1"/>
  <c r="I74" i="1"/>
  <c r="E50" i="1" l="1"/>
  <c r="T28" i="1"/>
  <c r="D52" i="1"/>
  <c r="H78" i="1"/>
  <c r="U25" i="1"/>
  <c r="U26" i="1" s="1"/>
  <c r="V24" i="1"/>
  <c r="F49" i="1"/>
  <c r="S29" i="1"/>
  <c r="M48" i="1"/>
  <c r="H48" i="1"/>
  <c r="I75" i="1"/>
  <c r="M77" i="1"/>
  <c r="L77" i="1"/>
  <c r="M78" i="1" l="1"/>
  <c r="L78" i="1"/>
  <c r="M49" i="1"/>
  <c r="H49" i="1"/>
  <c r="I76" i="1"/>
  <c r="W24" i="1"/>
  <c r="V25" i="1"/>
  <c r="V26" i="1" s="1"/>
  <c r="H79" i="1"/>
  <c r="D53" i="1"/>
  <c r="E51" i="1"/>
  <c r="U28" i="1"/>
  <c r="F50" i="1"/>
  <c r="T29" i="1"/>
  <c r="E52" i="1" l="1"/>
  <c r="V28" i="1"/>
  <c r="W25" i="1"/>
  <c r="W26" i="1" s="1"/>
  <c r="X24" i="1"/>
  <c r="X25" i="1" s="1"/>
  <c r="X26" i="1" s="1"/>
  <c r="F51" i="1"/>
  <c r="U29" i="1"/>
  <c r="H80" i="1"/>
  <c r="D54" i="1"/>
  <c r="H81" i="1" s="1"/>
  <c r="M50" i="1"/>
  <c r="H50" i="1"/>
  <c r="I77" i="1"/>
  <c r="M79" i="1"/>
  <c r="L79" i="1"/>
  <c r="L80" i="1" l="1"/>
  <c r="M80" i="1"/>
  <c r="W28" i="1"/>
  <c r="E53" i="1"/>
  <c r="M51" i="1"/>
  <c r="H51" i="1"/>
  <c r="I78" i="1"/>
  <c r="F52" i="1"/>
  <c r="V29" i="1"/>
  <c r="M81" i="1"/>
  <c r="M83" i="1" s="1"/>
  <c r="L81" i="1"/>
  <c r="L83" i="1" s="1"/>
  <c r="E54" i="1"/>
  <c r="X28" i="1"/>
  <c r="Z26" i="1"/>
  <c r="F53" i="1" l="1"/>
  <c r="W29" i="1"/>
  <c r="F54" i="1"/>
  <c r="Y29" i="1"/>
  <c r="Z28" i="1"/>
  <c r="K7" i="1" s="1"/>
  <c r="X29" i="1"/>
  <c r="E56" i="1"/>
  <c r="M52" i="1"/>
  <c r="H52" i="1"/>
  <c r="I79" i="1"/>
  <c r="M54" i="1" l="1"/>
  <c r="H54" i="1"/>
  <c r="F56" i="1"/>
  <c r="H55" i="1"/>
  <c r="H56" i="1" s="1"/>
  <c r="I81" i="1"/>
  <c r="Y30" i="1"/>
  <c r="U30" i="1"/>
  <c r="Q30" i="1"/>
  <c r="M30" i="1"/>
  <c r="I30" i="1"/>
  <c r="E30" i="1"/>
  <c r="X30" i="1"/>
  <c r="T30" i="1"/>
  <c r="P30" i="1"/>
  <c r="L30" i="1"/>
  <c r="H30" i="1"/>
  <c r="V30" i="1"/>
  <c r="N30" i="1"/>
  <c r="F30" i="1"/>
  <c r="S30" i="1"/>
  <c r="K30" i="1"/>
  <c r="W30" i="1"/>
  <c r="O30" i="1"/>
  <c r="R30" i="1"/>
  <c r="J30" i="1"/>
  <c r="G30" i="1"/>
  <c r="G53" i="1"/>
  <c r="M53" i="1"/>
  <c r="H53" i="1"/>
  <c r="I80" i="1"/>
  <c r="J53" i="1" l="1"/>
  <c r="K80" i="1" s="1"/>
  <c r="N80" i="1" s="1"/>
  <c r="J80" i="1"/>
  <c r="X31" i="1"/>
  <c r="T31" i="1"/>
  <c r="P31" i="1"/>
  <c r="L31" i="1"/>
  <c r="H31" i="1"/>
  <c r="W31" i="1"/>
  <c r="S31" i="1"/>
  <c r="O31" i="1"/>
  <c r="K31" i="1"/>
  <c r="G31" i="1"/>
  <c r="Y31" i="1"/>
  <c r="Q31" i="1"/>
  <c r="I31" i="1"/>
  <c r="Z31" i="1"/>
  <c r="V31" i="1"/>
  <c r="N31" i="1"/>
  <c r="F31" i="1"/>
  <c r="R31" i="1"/>
  <c r="J31" i="1"/>
  <c r="U31" i="1"/>
  <c r="M31" i="1"/>
  <c r="E31" i="1"/>
  <c r="G36" i="1"/>
  <c r="G37" i="1"/>
  <c r="G55" i="1"/>
  <c r="G35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N53" i="1"/>
  <c r="I83" i="1"/>
  <c r="G54" i="1"/>
  <c r="J49" i="1" l="1"/>
  <c r="J76" i="1"/>
  <c r="J41" i="1"/>
  <c r="J68" i="1"/>
  <c r="J52" i="1"/>
  <c r="J79" i="1"/>
  <c r="J48" i="1"/>
  <c r="J75" i="1"/>
  <c r="J44" i="1"/>
  <c r="J71" i="1"/>
  <c r="J40" i="1"/>
  <c r="J67" i="1"/>
  <c r="J82" i="1"/>
  <c r="J55" i="1"/>
  <c r="J54" i="1"/>
  <c r="J81" i="1"/>
  <c r="J51" i="1"/>
  <c r="J78" i="1"/>
  <c r="J47" i="1"/>
  <c r="J74" i="1"/>
  <c r="J43" i="1"/>
  <c r="J70" i="1"/>
  <c r="J39" i="1"/>
  <c r="J66" i="1"/>
  <c r="J37" i="1"/>
  <c r="J64" i="1"/>
  <c r="J50" i="1"/>
  <c r="J77" i="1"/>
  <c r="J46" i="1"/>
  <c r="J73" i="1"/>
  <c r="J42" i="1"/>
  <c r="J69" i="1"/>
  <c r="J38" i="1"/>
  <c r="J65" i="1"/>
  <c r="J63" i="1"/>
  <c r="J36" i="1"/>
  <c r="J45" i="1"/>
  <c r="J72" i="1"/>
  <c r="G56" i="1"/>
  <c r="I54" i="1"/>
  <c r="I52" i="1"/>
  <c r="I50" i="1"/>
  <c r="I48" i="1"/>
  <c r="I46" i="1"/>
  <c r="I44" i="1"/>
  <c r="I42" i="1"/>
  <c r="I40" i="1"/>
  <c r="I38" i="1"/>
  <c r="I53" i="1"/>
  <c r="I49" i="1"/>
  <c r="I45" i="1"/>
  <c r="I41" i="1"/>
  <c r="I37" i="1"/>
  <c r="I35" i="1"/>
  <c r="I47" i="1"/>
  <c r="I39" i="1"/>
  <c r="I55" i="1"/>
  <c r="J15" i="1" s="1"/>
  <c r="J16" i="1" s="1"/>
  <c r="I36" i="1"/>
  <c r="I51" i="1"/>
  <c r="I43" i="1"/>
  <c r="J62" i="1"/>
  <c r="J35" i="1"/>
  <c r="K63" i="1" l="1"/>
  <c r="N63" i="1" s="1"/>
  <c r="N36" i="1"/>
  <c r="K69" i="1"/>
  <c r="N69" i="1" s="1"/>
  <c r="N42" i="1"/>
  <c r="K77" i="1"/>
  <c r="N77" i="1" s="1"/>
  <c r="N50" i="1"/>
  <c r="K66" i="1"/>
  <c r="N66" i="1" s="1"/>
  <c r="N39" i="1"/>
  <c r="K74" i="1"/>
  <c r="N74" i="1" s="1"/>
  <c r="N47" i="1"/>
  <c r="K81" i="1"/>
  <c r="N81" i="1" s="1"/>
  <c r="N54" i="1"/>
  <c r="K67" i="1"/>
  <c r="N67" i="1" s="1"/>
  <c r="N40" i="1"/>
  <c r="K75" i="1"/>
  <c r="N75" i="1" s="1"/>
  <c r="N48" i="1"/>
  <c r="K68" i="1"/>
  <c r="N68" i="1" s="1"/>
  <c r="N41" i="1"/>
  <c r="K53" i="1"/>
  <c r="K51" i="1"/>
  <c r="K49" i="1"/>
  <c r="K47" i="1"/>
  <c r="K45" i="1"/>
  <c r="K43" i="1"/>
  <c r="K41" i="1"/>
  <c r="K39" i="1"/>
  <c r="K37" i="1"/>
  <c r="K55" i="1"/>
  <c r="K56" i="1" s="1"/>
  <c r="K52" i="1"/>
  <c r="K48" i="1"/>
  <c r="K44" i="1"/>
  <c r="K40" i="1"/>
  <c r="K36" i="1"/>
  <c r="K62" i="1"/>
  <c r="K50" i="1"/>
  <c r="K42" i="1"/>
  <c r="K35" i="1"/>
  <c r="J56" i="1"/>
  <c r="K54" i="1"/>
  <c r="K46" i="1"/>
  <c r="K38" i="1"/>
  <c r="N35" i="1"/>
  <c r="K82" i="1"/>
  <c r="N82" i="1" s="1"/>
  <c r="N55" i="1"/>
  <c r="J83" i="1"/>
  <c r="K72" i="1"/>
  <c r="N72" i="1" s="1"/>
  <c r="N45" i="1"/>
  <c r="K65" i="1"/>
  <c r="N65" i="1" s="1"/>
  <c r="N38" i="1"/>
  <c r="K73" i="1"/>
  <c r="N73" i="1" s="1"/>
  <c r="N46" i="1"/>
  <c r="K64" i="1"/>
  <c r="N64" i="1" s="1"/>
  <c r="N37" i="1"/>
  <c r="K70" i="1"/>
  <c r="N70" i="1" s="1"/>
  <c r="N43" i="1"/>
  <c r="K78" i="1"/>
  <c r="N78" i="1" s="1"/>
  <c r="N51" i="1"/>
  <c r="K71" i="1"/>
  <c r="N71" i="1" s="1"/>
  <c r="N44" i="1"/>
  <c r="K79" i="1"/>
  <c r="N79" i="1" s="1"/>
  <c r="N52" i="1"/>
  <c r="K76" i="1"/>
  <c r="N76" i="1" s="1"/>
  <c r="N49" i="1"/>
  <c r="N56" i="1" l="1"/>
  <c r="K83" i="1"/>
  <c r="N62" i="1"/>
  <c r="N8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III</author>
  </authors>
  <commentList>
    <comment ref="L3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John III:</t>
        </r>
        <r>
          <rPr>
            <sz val="9"/>
            <color indexed="81"/>
            <rFont val="Tahoma"/>
            <family val="2"/>
          </rPr>
          <t xml:space="preserve">
Enter Actual annual production here.</t>
        </r>
      </text>
    </comment>
  </commentList>
</comments>
</file>

<file path=xl/sharedStrings.xml><?xml version="1.0" encoding="utf-8"?>
<sst xmlns="http://schemas.openxmlformats.org/spreadsheetml/2006/main" count="105" uniqueCount="88">
  <si>
    <t xml:space="preserve">DCSEU - Solar for All </t>
  </si>
  <si>
    <t>Legend</t>
  </si>
  <si>
    <t>User Inputs</t>
  </si>
  <si>
    <t>Incentive Level</t>
  </si>
  <si>
    <t>[ $/W ]</t>
  </si>
  <si>
    <t>Proposed Terms</t>
  </si>
  <si>
    <t>Inputs</t>
  </si>
  <si>
    <t>Units</t>
  </si>
  <si>
    <t>Incentive Amount</t>
  </si>
  <si>
    <t>[ $ ]</t>
  </si>
  <si>
    <t>Assumptions*</t>
  </si>
  <si>
    <t>[ $/kWh ]</t>
  </si>
  <si>
    <t>Total capacity</t>
  </si>
  <si>
    <t>[ kW ]</t>
  </si>
  <si>
    <t>Calculation</t>
  </si>
  <si>
    <t>Capacity Factor</t>
  </si>
  <si>
    <t>[ % ]</t>
  </si>
  <si>
    <t>Output</t>
  </si>
  <si>
    <t>Default Payment Calculator</t>
  </si>
  <si>
    <t>MWh/MW</t>
  </si>
  <si>
    <t>[ # ]</t>
  </si>
  <si>
    <t>System Size (kW)</t>
  </si>
  <si>
    <t>Shortfall</t>
  </si>
  <si>
    <t>Projected Lifetime Output</t>
  </si>
  <si>
    <t>[ kWh ]</t>
  </si>
  <si>
    <t>Incentive Level ($/W)</t>
  </si>
  <si>
    <t>Default Year</t>
  </si>
  <si>
    <t>Output Years</t>
  </si>
  <si>
    <t>[ years ]</t>
  </si>
  <si>
    <t>Year 1 Output</t>
  </si>
  <si>
    <t xml:space="preserve"> [ kWh ]</t>
  </si>
  <si>
    <t>Incentive Amount ($)</t>
  </si>
  <si>
    <t>Total Installed Cost</t>
  </si>
  <si>
    <t>Percent of Output Lost (%)</t>
  </si>
  <si>
    <t>Cost per Watt</t>
  </si>
  <si>
    <t>Default Penalty ($)</t>
  </si>
  <si>
    <t>Panel Degredation Factor</t>
  </si>
  <si>
    <t>Generation</t>
  </si>
  <si>
    <t>Year</t>
  </si>
  <si>
    <t>Total</t>
  </si>
  <si>
    <t xml:space="preserve">PV Degredation </t>
  </si>
  <si>
    <t>[ %/year ]</t>
  </si>
  <si>
    <t>Projected Output</t>
  </si>
  <si>
    <t>Contracted Output</t>
  </si>
  <si>
    <t>Cummulative Output</t>
  </si>
  <si>
    <t xml:space="preserve">Imputed Generation Price </t>
  </si>
  <si>
    <t xml:space="preserve"> [ $/kWh ]</t>
  </si>
  <si>
    <t>Output Value</t>
  </si>
  <si>
    <t>Projected Output (kWh)</t>
  </si>
  <si>
    <t>P(90) Output (kWh)</t>
  </si>
  <si>
    <t>Percent of Total Output</t>
  </si>
  <si>
    <t>Accumulated Percent</t>
  </si>
  <si>
    <t>Generation Value (incentive*%)</t>
  </si>
  <si>
    <t>Cumulative Value (incentive *%)</t>
  </si>
  <si>
    <t>Actual Output</t>
  </si>
  <si>
    <t>Performance Penalty</t>
  </si>
  <si>
    <t>90% of Output (kWh)</t>
  </si>
  <si>
    <t>Cumulative 90% of Output (kWh)</t>
  </si>
  <si>
    <t>Required Output level</t>
  </si>
  <si>
    <t>Output Level in default year(%)</t>
  </si>
  <si>
    <t>Performance Penalty Calculator</t>
  </si>
  <si>
    <t>Actual Output (to be entered as part of the annual "True-Up")</t>
  </si>
  <si>
    <t>Generation Value Calculator</t>
  </si>
  <si>
    <t>Generation Value</t>
  </si>
  <si>
    <t>Note</t>
  </si>
  <si>
    <t xml:space="preserve"> - Calculator assumes 100% generation in all years prior to shortfall year.
- This calculator should be used only to determine the specific penalty amount in any individual year.</t>
  </si>
  <si>
    <t>Pepco ATO Date</t>
  </si>
  <si>
    <t>Commerical Operation Date</t>
  </si>
  <si>
    <t>Contractor</t>
  </si>
  <si>
    <t>Calculated</t>
  </si>
  <si>
    <t>Year 1 Starting Month</t>
  </si>
  <si>
    <t>Year 1 Prorate %</t>
  </si>
  <si>
    <t>Year 21 Prorate %</t>
  </si>
  <si>
    <t>Jan</t>
  </si>
  <si>
    <t>Feb</t>
  </si>
  <si>
    <t>Mar</t>
  </si>
  <si>
    <t>Month</t>
  </si>
  <si>
    <t>Prorate %</t>
  </si>
  <si>
    <t>Cumulative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</si>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</sst>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0_);_(* \(#,##0.0000\);_(* &quot;-&quot;??_);_(@_)"/>
    <numFmt numFmtId="167" formatCode="_([$$-409]* #,##0.00_);_([$$-409]* \(#,##0.00\);_([$$-409]* &quot;-&quot;??_);_(@_)"/>
    <numFmt numFmtId="168" formatCode="[$$-409]#,##0.00_);\([$$-409]#,##0.0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i/>
      <sz val="11"/>
      <color theme="0" tint="-0.3499862666707357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rgb="FFB2B2B2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4" fillId="3" borderId="3" applyNumberFormat="0" applyAlignment="0" applyProtection="0"/>
    <xf numFmtId="0" fontId="5" fillId="3" borderId="2" applyNumberFormat="0" applyAlignment="0" applyProtection="0"/>
    <xf numFmtId="0" fontId="6" fillId="4" borderId="4" applyNumberFormat="0" applyAlignment="0" applyProtection="0"/>
    <xf numFmtId="0" fontId="1" fillId="5" borderId="5" applyNumberFormat="0" applyFont="0" applyAlignment="0" applyProtection="0"/>
    <xf numFmtId="0" fontId="7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" fillId="8" borderId="0" applyNumberFormat="0" applyBorder="0" applyAlignment="0" applyProtection="0"/>
    <xf numFmtId="0" fontId="16" fillId="0" borderId="0" applyNumberFormat="0"/>
  </cellStyleXfs>
  <cellXfs count="162">
    <xf numFmtId="0" fontId="0" fillId="0" borderId="0" xfId="0"/>
    <xf numFmtId="0" fontId="10" fillId="7" borderId="0" xfId="11" applyFont="1"/>
    <xf numFmtId="0" fontId="0" fillId="8" borderId="0" xfId="12" applyFont="1"/>
    <xf numFmtId="0" fontId="1" fillId="8" borderId="0" xfId="12"/>
    <xf numFmtId="0" fontId="0" fillId="0" borderId="0" xfId="0" applyFill="1" applyBorder="1"/>
    <xf numFmtId="0" fontId="11" fillId="0" borderId="0" xfId="7" applyFont="1" applyFill="1" applyBorder="1" applyAlignment="1">
      <alignment horizontal="center"/>
    </xf>
    <xf numFmtId="0" fontId="2" fillId="0" borderId="1" xfId="3"/>
    <xf numFmtId="0" fontId="6" fillId="0" borderId="0" xfId="10" applyFont="1" applyFill="1" applyBorder="1" applyAlignment="1">
      <alignment horizontal="center"/>
    </xf>
    <xf numFmtId="0" fontId="0" fillId="0" borderId="7" xfId="0" applyBorder="1"/>
    <xf numFmtId="0" fontId="12" fillId="0" borderId="7" xfId="9" applyFont="1" applyBorder="1" applyAlignment="1">
      <alignment horizontal="center"/>
    </xf>
    <xf numFmtId="0" fontId="0" fillId="0" borderId="0" xfId="0" quotePrefix="1" applyAlignment="1">
      <alignment horizontal="left"/>
    </xf>
    <xf numFmtId="0" fontId="7" fillId="0" borderId="10" xfId="9" applyBorder="1" applyAlignment="1">
      <alignment horizontal="left"/>
    </xf>
    <xf numFmtId="0" fontId="0" fillId="0" borderId="11" xfId="0" applyBorder="1"/>
    <xf numFmtId="0" fontId="12" fillId="0" borderId="11" xfId="9" applyFont="1" applyBorder="1" applyAlignment="1">
      <alignment horizontal="center"/>
    </xf>
    <xf numFmtId="0" fontId="0" fillId="0" borderId="10" xfId="0" applyBorder="1"/>
    <xf numFmtId="0" fontId="0" fillId="5" borderId="12" xfId="8" applyFont="1" applyBorder="1"/>
    <xf numFmtId="0" fontId="0" fillId="0" borderId="13" xfId="0" applyBorder="1"/>
    <xf numFmtId="0" fontId="12" fillId="0" borderId="13" xfId="9" applyFont="1" applyBorder="1" applyAlignment="1">
      <alignment horizontal="center"/>
    </xf>
    <xf numFmtId="0" fontId="0" fillId="0" borderId="8" xfId="0" applyBorder="1"/>
    <xf numFmtId="164" fontId="4" fillId="3" borderId="15" xfId="1" applyNumberFormat="1" applyFont="1" applyFill="1" applyBorder="1"/>
    <xf numFmtId="165" fontId="13" fillId="9" borderId="2" xfId="6" applyNumberFormat="1" applyFont="1" applyFill="1" applyAlignment="1">
      <alignment horizontal="left"/>
    </xf>
    <xf numFmtId="164" fontId="4" fillId="0" borderId="0" xfId="1" applyNumberFormat="1" applyFont="1" applyFill="1" applyBorder="1"/>
    <xf numFmtId="0" fontId="0" fillId="0" borderId="14" xfId="0" applyBorder="1"/>
    <xf numFmtId="0" fontId="0" fillId="0" borderId="16" xfId="0" applyFill="1" applyBorder="1"/>
    <xf numFmtId="0" fontId="12" fillId="0" borderId="11" xfId="9" applyFont="1" applyFill="1" applyBorder="1" applyAlignment="1">
      <alignment horizontal="center"/>
    </xf>
    <xf numFmtId="0" fontId="14" fillId="0" borderId="11" xfId="0" applyFont="1" applyBorder="1"/>
    <xf numFmtId="164" fontId="4" fillId="3" borderId="18" xfId="1" applyNumberFormat="1" applyFont="1" applyFill="1" applyBorder="1"/>
    <xf numFmtId="0" fontId="3" fillId="0" borderId="0" xfId="4" applyFill="1" applyBorder="1"/>
    <xf numFmtId="0" fontId="8" fillId="0" borderId="16" xfId="0" applyFont="1" applyBorder="1"/>
    <xf numFmtId="43" fontId="4" fillId="3" borderId="15" xfId="5" applyNumberFormat="1" applyBorder="1"/>
    <xf numFmtId="43" fontId="4" fillId="0" borderId="0" xfId="5" applyNumberFormat="1" applyFill="1" applyBorder="1"/>
    <xf numFmtId="165" fontId="0" fillId="0" borderId="0" xfId="2" applyNumberFormat="1" applyFont="1" applyFill="1" applyBorder="1"/>
    <xf numFmtId="0" fontId="15" fillId="0" borderId="1" xfId="3" applyFont="1"/>
    <xf numFmtId="0" fontId="7" fillId="0" borderId="20" xfId="9" applyBorder="1"/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0" borderId="10" xfId="9" applyBorder="1" applyAlignment="1">
      <alignment horizontal="center"/>
    </xf>
    <xf numFmtId="0" fontId="12" fillId="0" borderId="0" xfId="9" applyFont="1" applyBorder="1" applyAlignment="1">
      <alignment horizontal="center"/>
    </xf>
    <xf numFmtId="2" fontId="16" fillId="0" borderId="0" xfId="13" applyNumberFormat="1"/>
    <xf numFmtId="2" fontId="16" fillId="0" borderId="11" xfId="13" applyNumberFormat="1" applyFill="1" applyBorder="1"/>
    <xf numFmtId="0" fontId="4" fillId="3" borderId="3" xfId="5" applyAlignment="1">
      <alignment horizontal="center"/>
    </xf>
    <xf numFmtId="0" fontId="12" fillId="0" borderId="0" xfId="9" applyFont="1" applyFill="1" applyBorder="1" applyAlignment="1">
      <alignment horizontal="center"/>
    </xf>
    <xf numFmtId="41" fontId="0" fillId="0" borderId="0" xfId="0" applyNumberFormat="1"/>
    <xf numFmtId="41" fontId="0" fillId="0" borderId="11" xfId="0" applyNumberFormat="1" applyFill="1" applyBorder="1"/>
    <xf numFmtId="164" fontId="0" fillId="0" borderId="0" xfId="0" applyNumberFormat="1"/>
    <xf numFmtId="166" fontId="0" fillId="0" borderId="22" xfId="1" applyNumberFormat="1" applyFont="1" applyBorder="1"/>
    <xf numFmtId="166" fontId="0" fillId="0" borderId="23" xfId="1" applyNumberFormat="1" applyFont="1" applyBorder="1"/>
    <xf numFmtId="166" fontId="0" fillId="0" borderId="24" xfId="1" applyNumberFormat="1" applyFont="1" applyBorder="1"/>
    <xf numFmtId="164" fontId="8" fillId="0" borderId="0" xfId="1" applyNumberFormat="1" applyFont="1"/>
    <xf numFmtId="164" fontId="8" fillId="0" borderId="11" xfId="1" applyNumberFormat="1" applyFont="1" applyBorder="1"/>
    <xf numFmtId="0" fontId="0" fillId="0" borderId="27" xfId="0" applyBorder="1"/>
    <xf numFmtId="0" fontId="8" fillId="0" borderId="0" xfId="0" applyFont="1" applyFill="1" applyBorder="1" applyAlignment="1">
      <alignment vertical="center" wrapText="1"/>
    </xf>
    <xf numFmtId="41" fontId="0" fillId="0" borderId="10" xfId="0" applyNumberForma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10" fontId="0" fillId="0" borderId="10" xfId="2" applyNumberFormat="1" applyFont="1" applyBorder="1" applyAlignment="1">
      <alignment vertical="center" wrapText="1"/>
    </xf>
    <xf numFmtId="167" fontId="0" fillId="0" borderId="10" xfId="0" applyNumberFormat="1" applyBorder="1" applyAlignment="1">
      <alignment vertical="center" wrapText="1"/>
    </xf>
    <xf numFmtId="167" fontId="0" fillId="0" borderId="10" xfId="0" applyNumberFormat="1" applyBorder="1"/>
    <xf numFmtId="43" fontId="0" fillId="0" borderId="10" xfId="1" applyFont="1" applyBorder="1" applyAlignment="1">
      <alignment vertical="center" wrapText="1"/>
    </xf>
    <xf numFmtId="165" fontId="0" fillId="0" borderId="10" xfId="2" applyNumberFormat="1" applyFont="1" applyBorder="1" applyAlignment="1">
      <alignment vertical="center" wrapText="1"/>
    </xf>
    <xf numFmtId="167" fontId="0" fillId="0" borderId="0" xfId="1" applyNumberFormat="1" applyFont="1"/>
    <xf numFmtId="9" fontId="0" fillId="0" borderId="0" xfId="2" applyFont="1"/>
    <xf numFmtId="167" fontId="0" fillId="0" borderId="0" xfId="0" applyNumberFormat="1"/>
    <xf numFmtId="10" fontId="0" fillId="0" borderId="10" xfId="0" applyNumberFormat="1" applyBorder="1"/>
    <xf numFmtId="0" fontId="8" fillId="0" borderId="29" xfId="0" applyFont="1" applyBorder="1" applyAlignment="1">
      <alignment vertical="center" wrapText="1"/>
    </xf>
    <xf numFmtId="41" fontId="8" fillId="0" borderId="30" xfId="0" applyNumberFormat="1" applyFont="1" applyBorder="1" applyAlignment="1">
      <alignment vertical="center" wrapText="1"/>
    </xf>
    <xf numFmtId="0" fontId="6" fillId="4" borderId="31" xfId="7" applyBorder="1" applyAlignment="1">
      <alignment horizontal="center" vertical="center" wrapText="1"/>
    </xf>
    <xf numFmtId="167" fontId="8" fillId="0" borderId="28" xfId="0" applyNumberFormat="1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164" fontId="0" fillId="0" borderId="10" xfId="1" applyNumberFormat="1" applyFont="1" applyBorder="1" applyAlignment="1">
      <alignment vertical="center" wrapText="1"/>
    </xf>
    <xf numFmtId="164" fontId="8" fillId="0" borderId="26" xfId="1" applyNumberFormat="1" applyFont="1" applyBorder="1" applyAlignment="1">
      <alignment vertical="center" wrapText="1"/>
    </xf>
    <xf numFmtId="9" fontId="4" fillId="0" borderId="0" xfId="2" applyFont="1" applyFill="1" applyBorder="1"/>
    <xf numFmtId="3" fontId="13" fillId="9" borderId="17" xfId="6" applyNumberFormat="1" applyFont="1" applyFill="1" applyBorder="1" applyAlignment="1">
      <alignment horizontal="right"/>
    </xf>
    <xf numFmtId="3" fontId="13" fillId="0" borderId="0" xfId="6" applyNumberFormat="1" applyFont="1" applyFill="1" applyBorder="1" applyAlignment="1">
      <alignment horizontal="right"/>
    </xf>
    <xf numFmtId="9" fontId="4" fillId="0" borderId="11" xfId="2" applyFont="1" applyFill="1" applyBorder="1"/>
    <xf numFmtId="3" fontId="13" fillId="0" borderId="11" xfId="6" applyNumberFormat="1" applyFont="1" applyFill="1" applyBorder="1" applyAlignment="1">
      <alignment horizontal="right"/>
    </xf>
    <xf numFmtId="0" fontId="6" fillId="0" borderId="0" xfId="10" applyFont="1" applyFill="1" applyBorder="1"/>
    <xf numFmtId="0" fontId="8" fillId="0" borderId="0" xfId="0" applyFont="1" applyFill="1" applyBorder="1" applyAlignment="1">
      <alignment horizontal="center"/>
    </xf>
    <xf numFmtId="165" fontId="3" fillId="0" borderId="0" xfId="2" applyNumberFormat="1" applyFont="1" applyFill="1" applyBorder="1"/>
    <xf numFmtId="9" fontId="3" fillId="0" borderId="0" xfId="2" applyFont="1" applyFill="1" applyBorder="1"/>
    <xf numFmtId="164" fontId="3" fillId="0" borderId="0" xfId="1" applyNumberFormat="1" applyFont="1" applyFill="1" applyBorder="1"/>
    <xf numFmtId="0" fontId="14" fillId="0" borderId="0" xfId="0" applyFont="1" applyFill="1" applyBorder="1"/>
    <xf numFmtId="0" fontId="8" fillId="0" borderId="0" xfId="0" applyFont="1" applyFill="1" applyBorder="1"/>
    <xf numFmtId="43" fontId="3" fillId="0" borderId="0" xfId="1" applyFont="1" applyFill="1" applyBorder="1"/>
    <xf numFmtId="0" fontId="0" fillId="0" borderId="33" xfId="0" applyBorder="1" applyAlignment="1">
      <alignment vertical="center" wrapText="1"/>
    </xf>
    <xf numFmtId="10" fontId="0" fillId="0" borderId="0" xfId="0" applyNumberFormat="1" applyBorder="1"/>
    <xf numFmtId="165" fontId="4" fillId="3" borderId="3" xfId="5" applyNumberFormat="1" applyAlignment="1">
      <alignment vertical="center" wrapText="1"/>
    </xf>
    <xf numFmtId="43" fontId="0" fillId="0" borderId="0" xfId="0" applyNumberFormat="1"/>
    <xf numFmtId="43" fontId="0" fillId="0" borderId="0" xfId="1" applyFont="1"/>
    <xf numFmtId="165" fontId="4" fillId="3" borderId="32" xfId="2" applyNumberFormat="1" applyFont="1" applyFill="1" applyBorder="1"/>
    <xf numFmtId="167" fontId="0" fillId="0" borderId="0" xfId="0" applyNumberFormat="1" applyBorder="1"/>
    <xf numFmtId="164" fontId="0" fillId="5" borderId="35" xfId="1" applyNumberFormat="1" applyFont="1" applyFill="1" applyBorder="1"/>
    <xf numFmtId="43" fontId="0" fillId="5" borderId="19" xfId="1" applyFont="1" applyFill="1" applyBorder="1"/>
    <xf numFmtId="164" fontId="4" fillId="3" borderId="3" xfId="1" applyNumberFormat="1" applyFont="1" applyFill="1" applyBorder="1"/>
    <xf numFmtId="166" fontId="4" fillId="3" borderId="3" xfId="1" applyNumberFormat="1" applyFont="1" applyFill="1" applyBorder="1"/>
    <xf numFmtId="164" fontId="3" fillId="2" borderId="6" xfId="1" applyNumberFormat="1" applyFont="1" applyFill="1" applyBorder="1" applyProtection="1">
      <protection locked="0"/>
    </xf>
    <xf numFmtId="0" fontId="3" fillId="2" borderId="6" xfId="4" applyBorder="1" applyProtection="1">
      <protection locked="0"/>
    </xf>
    <xf numFmtId="165" fontId="3" fillId="2" borderId="6" xfId="2" applyNumberFormat="1" applyFont="1" applyFill="1" applyBorder="1" applyProtection="1">
      <protection locked="0"/>
    </xf>
    <xf numFmtId="43" fontId="3" fillId="2" borderId="6" xfId="1" applyFont="1" applyFill="1" applyBorder="1" applyProtection="1">
      <protection locked="0"/>
    </xf>
    <xf numFmtId="9" fontId="0" fillId="5" borderId="12" xfId="2" applyFont="1" applyFill="1" applyBorder="1"/>
    <xf numFmtId="165" fontId="3" fillId="2" borderId="14" xfId="2" applyNumberFormat="1" applyFont="1" applyFill="1" applyBorder="1" applyProtection="1">
      <protection locked="0"/>
    </xf>
    <xf numFmtId="164" fontId="3" fillId="2" borderId="2" xfId="4" applyNumberFormat="1" applyBorder="1" applyAlignment="1" applyProtection="1">
      <alignment vertical="center" wrapText="1"/>
      <protection locked="0"/>
    </xf>
    <xf numFmtId="0" fontId="6" fillId="6" borderId="9" xfId="10" quotePrefix="1" applyFont="1" applyBorder="1" applyAlignment="1">
      <alignment horizontal="center"/>
    </xf>
    <xf numFmtId="0" fontId="6" fillId="6" borderId="20" xfId="10" applyFont="1" applyBorder="1"/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0" fillId="0" borderId="0" xfId="0" quotePrefix="1" applyBorder="1" applyAlignment="1">
      <alignment horizontal="center" wrapText="1"/>
    </xf>
    <xf numFmtId="0" fontId="19" fillId="0" borderId="0" xfId="0" applyFont="1"/>
    <xf numFmtId="168" fontId="0" fillId="0" borderId="10" xfId="1" applyNumberFormat="1" applyFont="1" applyBorder="1" applyAlignment="1">
      <alignment vertical="center" wrapText="1"/>
    </xf>
    <xf numFmtId="168" fontId="8" fillId="0" borderId="28" xfId="1" applyNumberFormat="1" applyFont="1" applyBorder="1" applyAlignment="1">
      <alignment vertical="center" wrapText="1"/>
    </xf>
    <xf numFmtId="0" fontId="8" fillId="0" borderId="29" xfId="0" applyFont="1" applyBorder="1" applyAlignment="1">
      <alignment horizontal="center" vertical="center" wrapText="1"/>
    </xf>
    <xf numFmtId="10" fontId="8" fillId="0" borderId="30" xfId="0" applyNumberFormat="1" applyFont="1" applyBorder="1" applyAlignment="1">
      <alignment vertical="center" wrapText="1"/>
    </xf>
    <xf numFmtId="0" fontId="0" fillId="0" borderId="0" xfId="0" applyBorder="1"/>
    <xf numFmtId="0" fontId="8" fillId="0" borderId="0" xfId="0" applyFont="1" applyBorder="1"/>
    <xf numFmtId="0" fontId="0" fillId="0" borderId="10" xfId="0" applyFill="1" applyBorder="1"/>
    <xf numFmtId="0" fontId="4" fillId="10" borderId="3" xfId="5" applyFill="1"/>
    <xf numFmtId="0" fontId="0" fillId="0" borderId="8" xfId="0" applyFill="1" applyBorder="1"/>
    <xf numFmtId="0" fontId="0" fillId="0" borderId="14" xfId="0" applyFill="1" applyBorder="1"/>
    <xf numFmtId="0" fontId="12" fillId="0" borderId="8" xfId="9" applyFont="1" applyBorder="1" applyAlignment="1">
      <alignment horizontal="center"/>
    </xf>
    <xf numFmtId="0" fontId="12" fillId="0" borderId="10" xfId="9" applyFont="1" applyBorder="1" applyAlignment="1">
      <alignment horizontal="center"/>
    </xf>
    <xf numFmtId="0" fontId="12" fillId="0" borderId="14" xfId="9" applyFont="1" applyBorder="1" applyAlignment="1">
      <alignment horizontal="center"/>
    </xf>
    <xf numFmtId="165" fontId="3" fillId="10" borderId="16" xfId="2" applyNumberFormat="1" applyFont="1" applyFill="1" applyBorder="1" applyProtection="1">
      <protection locked="0"/>
    </xf>
    <xf numFmtId="14" fontId="3" fillId="2" borderId="16" xfId="2" applyNumberFormat="1" applyFont="1" applyFill="1" applyBorder="1" applyProtection="1">
      <protection locked="0"/>
    </xf>
    <xf numFmtId="14" fontId="3" fillId="10" borderId="16" xfId="2" applyNumberFormat="1" applyFont="1" applyFill="1" applyBorder="1" applyProtection="1">
      <protection locked="0"/>
    </xf>
    <xf numFmtId="14" fontId="3" fillId="10" borderId="16" xfId="2" applyNumberFormat="1" applyFont="1" applyFill="1" applyBorder="1" applyAlignment="1" applyProtection="1">
      <alignment horizontal="right"/>
      <protection locked="0"/>
    </xf>
    <xf numFmtId="43" fontId="13" fillId="0" borderId="0" xfId="1" applyFont="1" applyFill="1" applyBorder="1" applyAlignment="1">
      <alignment horizontal="right"/>
    </xf>
    <xf numFmtId="9" fontId="0" fillId="0" borderId="0" xfId="0" applyNumberFormat="1"/>
    <xf numFmtId="0" fontId="0" fillId="0" borderId="37" xfId="0" applyBorder="1"/>
    <xf numFmtId="0" fontId="0" fillId="0" borderId="41" xfId="0" applyBorder="1" applyAlignment="1">
      <alignment vertical="center" wrapText="1"/>
    </xf>
    <xf numFmtId="41" fontId="0" fillId="0" borderId="42" xfId="0" applyNumberFormat="1" applyBorder="1" applyAlignment="1">
      <alignment vertical="center" wrapText="1"/>
    </xf>
    <xf numFmtId="165" fontId="3" fillId="10" borderId="10" xfId="2" applyNumberFormat="1" applyFont="1" applyFill="1" applyBorder="1" applyProtection="1">
      <protection locked="0"/>
    </xf>
    <xf numFmtId="0" fontId="3" fillId="11" borderId="6" xfId="4" applyFill="1" applyBorder="1"/>
    <xf numFmtId="43" fontId="4" fillId="11" borderId="15" xfId="1" applyFont="1" applyFill="1" applyBorder="1"/>
    <xf numFmtId="167" fontId="8" fillId="13" borderId="30" xfId="0" applyNumberFormat="1" applyFont="1" applyFill="1" applyBorder="1" applyAlignment="1">
      <alignment vertical="center" wrapText="1"/>
    </xf>
    <xf numFmtId="167" fontId="13" fillId="13" borderId="34" xfId="6" applyNumberFormat="1" applyFont="1" applyFill="1" applyBorder="1" applyAlignment="1">
      <alignment horizontal="right"/>
    </xf>
    <xf numFmtId="0" fontId="0" fillId="0" borderId="43" xfId="0" applyBorder="1"/>
    <xf numFmtId="0" fontId="6" fillId="12" borderId="47" xfId="10" applyFont="1" applyFill="1" applyBorder="1"/>
    <xf numFmtId="0" fontId="0" fillId="12" borderId="48" xfId="0" applyFill="1" applyBorder="1"/>
    <xf numFmtId="0" fontId="14" fillId="12" borderId="48" xfId="0" applyFont="1" applyFill="1" applyBorder="1"/>
    <xf numFmtId="0" fontId="14" fillId="12" borderId="47" xfId="0" applyFont="1" applyFill="1" applyBorder="1"/>
    <xf numFmtId="0" fontId="8" fillId="12" borderId="49" xfId="0" applyFont="1" applyFill="1" applyBorder="1"/>
    <xf numFmtId="0" fontId="0" fillId="0" borderId="45" xfId="0" applyBorder="1"/>
    <xf numFmtId="43" fontId="13" fillId="0" borderId="46" xfId="1" applyFont="1" applyFill="1" applyBorder="1" applyAlignment="1">
      <alignment horizontal="right"/>
    </xf>
    <xf numFmtId="164" fontId="0" fillId="12" borderId="44" xfId="1" applyNumberFormat="1" applyFont="1" applyFill="1" applyBorder="1"/>
    <xf numFmtId="0" fontId="0" fillId="12" borderId="44" xfId="0" applyFill="1" applyBorder="1"/>
    <xf numFmtId="9" fontId="4" fillId="12" borderId="45" xfId="2" applyFont="1" applyFill="1" applyBorder="1"/>
    <xf numFmtId="43" fontId="13" fillId="12" borderId="44" xfId="1" applyFont="1" applyFill="1" applyBorder="1" applyAlignment="1">
      <alignment horizontal="right"/>
    </xf>
    <xf numFmtId="165" fontId="3" fillId="12" borderId="50" xfId="2" applyNumberFormat="1" applyFont="1" applyFill="1" applyBorder="1" applyProtection="1">
      <protection locked="0"/>
    </xf>
    <xf numFmtId="164" fontId="4" fillId="12" borderId="44" xfId="1" applyNumberFormat="1" applyFont="1" applyFill="1" applyBorder="1"/>
    <xf numFmtId="43" fontId="0" fillId="12" borderId="45" xfId="1" applyFont="1" applyFill="1" applyBorder="1"/>
    <xf numFmtId="0" fontId="3" fillId="12" borderId="44" xfId="4" applyFill="1" applyBorder="1" applyProtection="1">
      <protection locked="0"/>
    </xf>
    <xf numFmtId="0" fontId="6" fillId="6" borderId="20" xfId="10" applyFont="1" applyBorder="1" applyAlignment="1">
      <alignment horizontal="center"/>
    </xf>
    <xf numFmtId="0" fontId="0" fillId="0" borderId="7" xfId="0" quotePrefix="1" applyBorder="1" applyAlignment="1">
      <alignment horizontal="left" wrapText="1" indent="1"/>
    </xf>
    <xf numFmtId="0" fontId="0" fillId="0" borderId="38" xfId="0" quotePrefix="1" applyBorder="1" applyAlignment="1">
      <alignment horizontal="left" wrapText="1" indent="1"/>
    </xf>
    <xf numFmtId="0" fontId="0" fillId="0" borderId="36" xfId="0" quotePrefix="1" applyBorder="1" applyAlignment="1">
      <alignment horizontal="left" wrapText="1" indent="1"/>
    </xf>
    <xf numFmtId="0" fontId="0" fillId="0" borderId="11" xfId="0" quotePrefix="1" applyBorder="1" applyAlignment="1">
      <alignment horizontal="left" wrapText="1" indent="1"/>
    </xf>
    <xf numFmtId="0" fontId="0" fillId="0" borderId="0" xfId="0" quotePrefix="1" applyBorder="1" applyAlignment="1">
      <alignment horizontal="left" wrapText="1" indent="1"/>
    </xf>
    <xf numFmtId="0" fontId="0" fillId="0" borderId="37" xfId="0" quotePrefix="1" applyBorder="1" applyAlignment="1">
      <alignment horizontal="left" wrapText="1" indent="1"/>
    </xf>
    <xf numFmtId="0" fontId="0" fillId="0" borderId="13" xfId="0" quotePrefix="1" applyBorder="1" applyAlignment="1">
      <alignment horizontal="left" wrapText="1" indent="1"/>
    </xf>
    <xf numFmtId="0" fontId="0" fillId="0" borderId="39" xfId="0" quotePrefix="1" applyBorder="1" applyAlignment="1">
      <alignment horizontal="left" wrapText="1" indent="1"/>
    </xf>
    <xf numFmtId="0" fontId="0" fillId="0" borderId="40" xfId="0" quotePrefix="1" applyBorder="1" applyAlignment="1">
      <alignment horizontal="left" wrapText="1" indent="1"/>
    </xf>
  </cellXfs>
  <cellStyles count="14">
    <cellStyle name="60% - Accent6" xfId="12" builtinId="52"/>
    <cellStyle name="Accent1" xfId="10" builtinId="29"/>
    <cellStyle name="Accent5" xfId="11" builtinId="45"/>
    <cellStyle name="Calculation" xfId="6" builtinId="22"/>
    <cellStyle name="Check Cell" xfId="7" builtinId="23"/>
    <cellStyle name="Comma" xfId="1" builtinId="3"/>
    <cellStyle name="Explanatory Text" xfId="9" builtinId="53"/>
    <cellStyle name="Heading 1" xfId="3" builtinId="16"/>
    <cellStyle name="Info" xfId="13" xr:uid="{00000000-0005-0000-0000-000008000000}"/>
    <cellStyle name="Input" xfId="4" builtinId="20"/>
    <cellStyle name="Normal" xfId="0" builtinId="0"/>
    <cellStyle name="Note" xfId="8" builtinId="10"/>
    <cellStyle name="Output" xfId="5" builtinId="21"/>
    <cellStyle name="Percent" xfId="2" builtinId="5"/>
  </cellStyles>
  <dxfs count="0"/>
  <tableStyles count="0" defaultTableStyle="TableStyleMedium2" defaultPivotStyle="PivotStyleLight16"/>
  <colors>
    <mruColors>
      <color rgb="FFFFCC99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perations%20&amp;%20Implementation\PMO\Solar\REDF%20-%20Solar%20for%20All\Solicitations\CREF\Analysis\Project%20Analysis%20Worksheet%20-%20Greenscap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Portfolio"/>
      <sheetName val="Project List"/>
      <sheetName val="Site Review"/>
    </sheetNames>
    <sheetDataSet>
      <sheetData sheetId="0">
        <row r="2">
          <cell r="C2" t="str">
            <v>Proposal Worksheet - Greenscape</v>
          </cell>
        </row>
        <row r="10">
          <cell r="E10">
            <v>1048.6367721961401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1"/>
  <sheetViews>
    <sheetView tabSelected="1" zoomScale="70" zoomScaleNormal="70" workbookViewId="0">
      <selection activeCell="T36" sqref="T36"/>
    </sheetView>
  </sheetViews>
  <sheetFormatPr defaultColWidth="0" defaultRowHeight="14.5" zeroHeight="1" outlineLevelRow="1" x14ac:dyDescent="0.35"/>
  <cols>
    <col min="1" max="2" width="1.54296875" customWidth="1"/>
    <col min="3" max="3" width="32" bestFit="1" customWidth="1"/>
    <col min="4" max="4" width="10.6328125" bestFit="1" customWidth="1"/>
    <col min="5" max="5" width="14.1796875" bestFit="1" customWidth="1"/>
    <col min="6" max="6" width="13.1796875" bestFit="1" customWidth="1"/>
    <col min="7" max="7" width="15.36328125" bestFit="1" customWidth="1"/>
    <col min="8" max="8" width="11.6328125" customWidth="1"/>
    <col min="9" max="9" width="32.08984375" bestFit="1" customWidth="1"/>
    <col min="10" max="10" width="16.453125" bestFit="1" customWidth="1"/>
    <col min="11" max="11" width="13.54296875" bestFit="1" customWidth="1"/>
    <col min="12" max="12" width="29.453125" bestFit="1" customWidth="1"/>
    <col min="13" max="13" width="14" bestFit="1" customWidth="1"/>
    <col min="14" max="14" width="15.08984375" customWidth="1"/>
    <col min="15" max="15" width="17.54296875" bestFit="1" customWidth="1"/>
    <col min="16" max="16" width="18.36328125" bestFit="1" customWidth="1"/>
    <col min="17" max="18" width="12.08984375" bestFit="1" customWidth="1"/>
    <col min="19" max="19" width="12.54296875" bestFit="1" customWidth="1"/>
    <col min="20" max="25" width="12.54296875" customWidth="1"/>
    <col min="26" max="28" width="13.08984375" bestFit="1" customWidth="1"/>
    <col min="29" max="29" width="9.36328125" bestFit="1" customWidth="1"/>
    <col min="30" max="32" width="8.6328125" customWidth="1"/>
    <col min="33" max="16384" width="8.6328125" hidden="1"/>
  </cols>
  <sheetData>
    <row r="1" spans="3:29" s="1" customFormat="1" ht="18.5" x14ac:dyDescent="0.45">
      <c r="C1" s="1" t="s">
        <v>0</v>
      </c>
    </row>
    <row r="2" spans="3:29" s="3" customFormat="1" x14ac:dyDescent="0.35">
      <c r="C2" s="2"/>
    </row>
    <row r="3" spans="3:29" ht="20" thickBot="1" x14ac:dyDescent="0.5">
      <c r="E3" s="4"/>
      <c r="F3" s="5"/>
      <c r="G3" s="6" t="s">
        <v>1</v>
      </c>
    </row>
    <row r="4" spans="3:29" ht="15.5" thickTop="1" thickBot="1" x14ac:dyDescent="0.4">
      <c r="E4" s="7"/>
      <c r="F4" s="7"/>
      <c r="G4" s="132" t="s">
        <v>2</v>
      </c>
      <c r="I4" s="102" t="s">
        <v>62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3:29" ht="20.149999999999999" customHeight="1" thickBot="1" x14ac:dyDescent="0.5">
      <c r="C5" s="6" t="s">
        <v>5</v>
      </c>
      <c r="E5" s="101" t="s">
        <v>6</v>
      </c>
      <c r="G5" s="11" t="s">
        <v>7</v>
      </c>
      <c r="I5" s="8" t="s">
        <v>3</v>
      </c>
      <c r="J5" s="9" t="s">
        <v>4</v>
      </c>
      <c r="K5" s="97">
        <v>1.25</v>
      </c>
    </row>
    <row r="6" spans="3:29" ht="15" thickTop="1" x14ac:dyDescent="0.35">
      <c r="E6" s="14"/>
      <c r="G6" s="15" t="s">
        <v>10</v>
      </c>
      <c r="I6" s="12" t="s">
        <v>8</v>
      </c>
      <c r="J6" s="13" t="s">
        <v>9</v>
      </c>
      <c r="K6" s="92">
        <f>K5*E7*1000</f>
        <v>125000</v>
      </c>
    </row>
    <row r="7" spans="3:29" x14ac:dyDescent="0.35">
      <c r="C7" s="18" t="s">
        <v>12</v>
      </c>
      <c r="D7" s="9" t="s">
        <v>13</v>
      </c>
      <c r="E7" s="94">
        <v>100</v>
      </c>
      <c r="G7" s="116" t="s">
        <v>14</v>
      </c>
      <c r="I7" s="16" t="s">
        <v>63</v>
      </c>
      <c r="J7" s="17" t="s">
        <v>11</v>
      </c>
      <c r="K7" s="93">
        <f>K6/Z28</f>
        <v>6.3695072319970958E-2</v>
      </c>
    </row>
    <row r="8" spans="3:29" x14ac:dyDescent="0.35">
      <c r="C8" s="14" t="s">
        <v>15</v>
      </c>
      <c r="D8" s="13" t="s">
        <v>16</v>
      </c>
      <c r="E8" s="131">
        <f>MWh_per_kW/Hrs_Yr</f>
        <v>0.13698630136986301</v>
      </c>
      <c r="G8" s="20" t="s">
        <v>17</v>
      </c>
      <c r="L8" s="136"/>
      <c r="M8" s="142"/>
      <c r="P8" s="75"/>
      <c r="Q8" s="76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3:29" ht="15" thickBot="1" x14ac:dyDescent="0.4">
      <c r="C9" s="14" t="s">
        <v>19</v>
      </c>
      <c r="D9" s="13" t="s">
        <v>20</v>
      </c>
      <c r="E9" s="133">
        <v>1200</v>
      </c>
      <c r="G9" s="21"/>
      <c r="I9" s="102" t="s">
        <v>18</v>
      </c>
      <c r="L9" s="137"/>
      <c r="M9" s="145"/>
      <c r="P9" s="4"/>
      <c r="Q9" s="77"/>
      <c r="R9" s="77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</row>
    <row r="10" spans="3:29" x14ac:dyDescent="0.35">
      <c r="C10" s="14" t="s">
        <v>23</v>
      </c>
      <c r="D10" s="13" t="s">
        <v>24</v>
      </c>
      <c r="E10" s="19">
        <f>E13*E12</f>
        <v>2400000</v>
      </c>
      <c r="G10" s="21"/>
      <c r="I10" s="12" t="s">
        <v>21</v>
      </c>
      <c r="J10" s="90">
        <f>E7</f>
        <v>100</v>
      </c>
      <c r="L10" s="138"/>
      <c r="M10" s="144"/>
      <c r="P10" s="4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</row>
    <row r="11" spans="3:29" x14ac:dyDescent="0.35">
      <c r="C11" s="14" t="s">
        <v>58</v>
      </c>
      <c r="D11" s="13" t="s">
        <v>16</v>
      </c>
      <c r="E11" s="98">
        <v>0.9</v>
      </c>
      <c r="G11" s="21"/>
      <c r="I11" s="12" t="s">
        <v>25</v>
      </c>
      <c r="J11" s="91">
        <f>K5</f>
        <v>1.25</v>
      </c>
      <c r="L11" s="138"/>
      <c r="M11" s="150"/>
      <c r="P11" s="4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</row>
    <row r="12" spans="3:29" x14ac:dyDescent="0.35">
      <c r="C12" s="14" t="s">
        <v>27</v>
      </c>
      <c r="D12" s="13" t="s">
        <v>28</v>
      </c>
      <c r="E12" s="94">
        <v>20</v>
      </c>
      <c r="I12" s="22" t="s">
        <v>26</v>
      </c>
      <c r="J12" s="95">
        <v>21</v>
      </c>
      <c r="L12" s="138"/>
      <c r="M12" s="151"/>
      <c r="P12" s="80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</row>
    <row r="13" spans="3:29" x14ac:dyDescent="0.35">
      <c r="C13" s="14" t="s">
        <v>29</v>
      </c>
      <c r="D13" s="24" t="s">
        <v>30</v>
      </c>
      <c r="E13" s="19">
        <f>E7*MWh_per_kW</f>
        <v>120000</v>
      </c>
      <c r="G13" s="21"/>
      <c r="I13" s="23" t="s">
        <v>59</v>
      </c>
      <c r="J13" s="96">
        <v>0</v>
      </c>
      <c r="L13" s="138"/>
      <c r="M13" s="148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3:29" x14ac:dyDescent="0.35">
      <c r="C14" s="14" t="s">
        <v>32</v>
      </c>
      <c r="D14" s="13" t="s">
        <v>9</v>
      </c>
      <c r="E14" s="94"/>
      <c r="G14" s="27"/>
      <c r="I14" s="25" t="s">
        <v>31</v>
      </c>
      <c r="J14" s="26">
        <f>J11*J10*1000</f>
        <v>125000</v>
      </c>
      <c r="L14" s="139"/>
      <c r="M14" s="149"/>
      <c r="N14" s="70"/>
      <c r="P14" s="81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</row>
    <row r="15" spans="3:29" x14ac:dyDescent="0.35">
      <c r="C15" s="14" t="s">
        <v>34</v>
      </c>
      <c r="D15" s="13" t="s">
        <v>4</v>
      </c>
      <c r="E15" s="29">
        <f>E14/E7/1000</f>
        <v>0</v>
      </c>
      <c r="G15" s="30"/>
      <c r="I15" s="25" t="s">
        <v>33</v>
      </c>
      <c r="J15" s="88">
        <f>1-VLOOKUP(J12,D35:I55,6)+(VLOOKUP(J12,D35:J55,4)*J13)</f>
        <v>-2.2204460492503131E-16</v>
      </c>
      <c r="K15" s="73"/>
      <c r="L15" s="140"/>
      <c r="M15" s="146"/>
      <c r="N15" s="72"/>
      <c r="P15" s="80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</row>
    <row r="16" spans="3:29" x14ac:dyDescent="0.35">
      <c r="C16" s="22" t="s">
        <v>36</v>
      </c>
      <c r="D16" s="17" t="s">
        <v>16</v>
      </c>
      <c r="E16" s="99">
        <v>0.01</v>
      </c>
      <c r="F16" s="12"/>
      <c r="G16" s="31"/>
      <c r="I16" s="28" t="s">
        <v>35</v>
      </c>
      <c r="J16" s="71">
        <f>(J14*J15)</f>
        <v>-2.7755575615628914E-11</v>
      </c>
      <c r="K16" s="74"/>
      <c r="L16" s="141"/>
      <c r="M16" s="147"/>
    </row>
    <row r="17" spans="3:26" x14ac:dyDescent="0.35">
      <c r="C17" s="117" t="s">
        <v>66</v>
      </c>
      <c r="D17" s="119"/>
      <c r="E17" s="123">
        <v>43905</v>
      </c>
      <c r="F17" s="113"/>
      <c r="G17" s="31"/>
      <c r="I17" s="114"/>
      <c r="J17" s="72"/>
      <c r="K17" s="72"/>
      <c r="L17" s="81"/>
      <c r="M17" s="143"/>
    </row>
    <row r="18" spans="3:26" x14ac:dyDescent="0.35">
      <c r="C18" s="115" t="s">
        <v>67</v>
      </c>
      <c r="D18" s="120" t="s">
        <v>68</v>
      </c>
      <c r="E18" s="123">
        <v>43924</v>
      </c>
      <c r="F18" s="113"/>
      <c r="G18" s="31"/>
      <c r="I18" s="114"/>
      <c r="J18" s="72"/>
      <c r="K18" s="72"/>
      <c r="L18" s="81"/>
      <c r="M18" s="126"/>
    </row>
    <row r="19" spans="3:26" x14ac:dyDescent="0.35">
      <c r="C19" s="115" t="s">
        <v>67</v>
      </c>
      <c r="D19" s="120" t="s">
        <v>69</v>
      </c>
      <c r="E19" s="124">
        <f>MIN(E17+14,E18)</f>
        <v>43919</v>
      </c>
      <c r="F19" s="113"/>
      <c r="G19" s="31"/>
      <c r="I19" s="114"/>
      <c r="J19" s="72"/>
      <c r="K19" s="72"/>
      <c r="L19" s="81"/>
      <c r="M19" s="126"/>
    </row>
    <row r="20" spans="3:26" x14ac:dyDescent="0.35">
      <c r="C20" s="115" t="s">
        <v>70</v>
      </c>
      <c r="D20" s="120"/>
      <c r="E20" s="125" t="str">
        <f>CHOOSE(MONTH(E19)+1,"Jan", "Feb","Mar","Apr","May","Jun","Jul","Aug","Sep","Oct","Nov","Dec")</f>
        <v>Apr</v>
      </c>
      <c r="F20" s="113"/>
      <c r="G20" s="31"/>
      <c r="I20" s="114"/>
      <c r="J20" s="72"/>
      <c r="K20" s="72"/>
      <c r="L20" s="81"/>
      <c r="M20" s="126"/>
    </row>
    <row r="21" spans="3:26" x14ac:dyDescent="0.35">
      <c r="C21" s="115" t="s">
        <v>71</v>
      </c>
      <c r="D21" s="120"/>
      <c r="E21" s="122">
        <f>VLOOKUP(E20,Sheet1!A2:C13,3,FALSE)</f>
        <v>0.79</v>
      </c>
      <c r="F21" s="113"/>
      <c r="G21" s="31"/>
      <c r="I21" s="114"/>
      <c r="J21" s="72"/>
      <c r="K21" s="72"/>
      <c r="L21" s="81"/>
      <c r="M21" s="126"/>
    </row>
    <row r="22" spans="3:26" x14ac:dyDescent="0.35">
      <c r="C22" s="118" t="s">
        <v>72</v>
      </c>
      <c r="D22" s="121"/>
      <c r="E22" s="122">
        <f>1-E21</f>
        <v>0.20999999999999996</v>
      </c>
      <c r="F22" s="113"/>
      <c r="G22" s="31"/>
      <c r="I22" s="114"/>
      <c r="J22" s="72"/>
      <c r="K22" s="72"/>
      <c r="L22" s="81"/>
      <c r="M22" s="126"/>
    </row>
    <row r="23" spans="3:26" x14ac:dyDescent="0.35"/>
    <row r="24" spans="3:26" ht="16" outlineLevel="1" thickBot="1" x14ac:dyDescent="0.4">
      <c r="C24" s="32" t="s">
        <v>37</v>
      </c>
      <c r="D24" s="33" t="s">
        <v>38</v>
      </c>
      <c r="E24" s="34">
        <v>1</v>
      </c>
      <c r="F24" s="34">
        <f>E24+1</f>
        <v>2</v>
      </c>
      <c r="G24" s="34">
        <f>F24+1</f>
        <v>3</v>
      </c>
      <c r="H24" s="34">
        <f t="shared" ref="H24:S24" si="0">G24+1</f>
        <v>4</v>
      </c>
      <c r="I24" s="34">
        <f t="shared" si="0"/>
        <v>5</v>
      </c>
      <c r="J24" s="34">
        <f t="shared" si="0"/>
        <v>6</v>
      </c>
      <c r="K24" s="34">
        <f t="shared" si="0"/>
        <v>7</v>
      </c>
      <c r="L24" s="34">
        <f t="shared" si="0"/>
        <v>8</v>
      </c>
      <c r="M24" s="34">
        <f t="shared" si="0"/>
        <v>9</v>
      </c>
      <c r="N24" s="34">
        <f t="shared" si="0"/>
        <v>10</v>
      </c>
      <c r="O24" s="34">
        <f t="shared" si="0"/>
        <v>11</v>
      </c>
      <c r="P24" s="34">
        <f t="shared" si="0"/>
        <v>12</v>
      </c>
      <c r="Q24" s="34">
        <f t="shared" si="0"/>
        <v>13</v>
      </c>
      <c r="R24" s="34">
        <f t="shared" si="0"/>
        <v>14</v>
      </c>
      <c r="S24" s="34">
        <f t="shared" si="0"/>
        <v>15</v>
      </c>
      <c r="T24" s="34">
        <f t="shared" ref="T24" si="1">S24+1</f>
        <v>16</v>
      </c>
      <c r="U24" s="34">
        <f t="shared" ref="U24" si="2">T24+1</f>
        <v>17</v>
      </c>
      <c r="V24" s="34">
        <f t="shared" ref="V24" si="3">U24+1</f>
        <v>18</v>
      </c>
      <c r="W24" s="34">
        <f t="shared" ref="W24" si="4">V24+1</f>
        <v>19</v>
      </c>
      <c r="X24" s="34">
        <f t="shared" ref="X24" si="5">W24+1</f>
        <v>20</v>
      </c>
      <c r="Y24" s="34">
        <v>21</v>
      </c>
      <c r="Z24" s="35" t="s">
        <v>39</v>
      </c>
    </row>
    <row r="25" spans="3:26" ht="15" outlineLevel="1" thickTop="1" x14ac:dyDescent="0.35">
      <c r="C25" s="36" t="s">
        <v>40</v>
      </c>
      <c r="D25" s="37" t="s">
        <v>41</v>
      </c>
      <c r="E25" s="38">
        <f t="shared" ref="E25:Y25" si="6">(1-$E$16)^(E24-1)</f>
        <v>1</v>
      </c>
      <c r="F25" s="38">
        <f t="shared" si="6"/>
        <v>0.99</v>
      </c>
      <c r="G25" s="38">
        <f t="shared" si="6"/>
        <v>0.98009999999999997</v>
      </c>
      <c r="H25" s="38">
        <f t="shared" si="6"/>
        <v>0.97029899999999991</v>
      </c>
      <c r="I25" s="38">
        <f t="shared" si="6"/>
        <v>0.96059600999999994</v>
      </c>
      <c r="J25" s="38">
        <f t="shared" si="6"/>
        <v>0.95099004989999991</v>
      </c>
      <c r="K25" s="38">
        <f t="shared" si="6"/>
        <v>0.94148014940099989</v>
      </c>
      <c r="L25" s="38">
        <f t="shared" si="6"/>
        <v>0.93206534790698992</v>
      </c>
      <c r="M25" s="38">
        <f t="shared" si="6"/>
        <v>0.92274469442791995</v>
      </c>
      <c r="N25" s="38">
        <f t="shared" si="6"/>
        <v>0.91351724748364072</v>
      </c>
      <c r="O25" s="38">
        <f t="shared" si="6"/>
        <v>0.9043820750088043</v>
      </c>
      <c r="P25" s="38">
        <f t="shared" si="6"/>
        <v>0.89533825425871627</v>
      </c>
      <c r="Q25" s="38">
        <f t="shared" si="6"/>
        <v>0.88638487171612912</v>
      </c>
      <c r="R25" s="38">
        <f t="shared" si="6"/>
        <v>0.87752102299896773</v>
      </c>
      <c r="S25" s="38">
        <f t="shared" si="6"/>
        <v>0.86874581276897811</v>
      </c>
      <c r="T25" s="38">
        <f t="shared" si="6"/>
        <v>0.86005835464128833</v>
      </c>
      <c r="U25" s="38">
        <f t="shared" si="6"/>
        <v>0.85145777109487542</v>
      </c>
      <c r="V25" s="38">
        <f t="shared" si="6"/>
        <v>0.84294319338392665</v>
      </c>
      <c r="W25" s="38">
        <f t="shared" si="6"/>
        <v>0.83451376145008738</v>
      </c>
      <c r="X25" s="38">
        <f t="shared" si="6"/>
        <v>0.82616862383558642</v>
      </c>
      <c r="Y25" s="38">
        <f t="shared" si="6"/>
        <v>0.81790693759723065</v>
      </c>
      <c r="Z25" s="39"/>
    </row>
    <row r="26" spans="3:26" outlineLevel="1" x14ac:dyDescent="0.35">
      <c r="C26" s="40" t="s">
        <v>42</v>
      </c>
      <c r="D26" s="41" t="s">
        <v>30</v>
      </c>
      <c r="E26" s="42">
        <f>E25*MAX($E$13,$G$13)*E21</f>
        <v>94800</v>
      </c>
      <c r="F26" s="42">
        <f>F25*MAX($E$13,$G$13)</f>
        <v>118800</v>
      </c>
      <c r="G26" s="42">
        <f t="shared" ref="G26:X26" si="7">G25*MAX($E$13,$G$13)</f>
        <v>117612</v>
      </c>
      <c r="H26" s="42">
        <f t="shared" si="7"/>
        <v>116435.87999999999</v>
      </c>
      <c r="I26" s="42">
        <f t="shared" si="7"/>
        <v>115271.52119999999</v>
      </c>
      <c r="J26" s="42">
        <f t="shared" si="7"/>
        <v>114118.80598799999</v>
      </c>
      <c r="K26" s="42">
        <f t="shared" si="7"/>
        <v>112977.61792811999</v>
      </c>
      <c r="L26" s="42">
        <f t="shared" si="7"/>
        <v>111847.84174883879</v>
      </c>
      <c r="M26" s="42">
        <f t="shared" si="7"/>
        <v>110729.3633313504</v>
      </c>
      <c r="N26" s="42">
        <f t="shared" si="7"/>
        <v>109622.06969803688</v>
      </c>
      <c r="O26" s="42">
        <f t="shared" si="7"/>
        <v>108525.84900105651</v>
      </c>
      <c r="P26" s="42">
        <f t="shared" si="7"/>
        <v>107440.59051104596</v>
      </c>
      <c r="Q26" s="42">
        <f t="shared" si="7"/>
        <v>106366.1846059355</v>
      </c>
      <c r="R26" s="42">
        <f t="shared" si="7"/>
        <v>105302.52275987613</v>
      </c>
      <c r="S26" s="42">
        <f t="shared" si="7"/>
        <v>104249.49753227737</v>
      </c>
      <c r="T26" s="42">
        <f t="shared" si="7"/>
        <v>103207.0025569546</v>
      </c>
      <c r="U26" s="42">
        <f t="shared" si="7"/>
        <v>102174.93253138506</v>
      </c>
      <c r="V26" s="42">
        <f t="shared" si="7"/>
        <v>101153.1832060712</v>
      </c>
      <c r="W26" s="42">
        <f t="shared" si="7"/>
        <v>100141.65137401049</v>
      </c>
      <c r="X26" s="42">
        <f t="shared" si="7"/>
        <v>99140.234860270371</v>
      </c>
      <c r="Y26" s="42">
        <f>Y25*MAX($E$13,$G$13)*E22</f>
        <v>20611.254827450208</v>
      </c>
      <c r="Z26" s="43">
        <f>SUM(E26:Y26)</f>
        <v>2180528.0036606789</v>
      </c>
    </row>
    <row r="27" spans="3:26" outlineLevel="1" x14ac:dyDescent="0.35">
      <c r="Y27" s="128"/>
    </row>
    <row r="28" spans="3:26" outlineLevel="1" x14ac:dyDescent="0.35">
      <c r="C28" t="s">
        <v>43</v>
      </c>
      <c r="D28" s="41" t="s">
        <v>30</v>
      </c>
      <c r="E28" s="44">
        <f>E26*$E$11</f>
        <v>85320</v>
      </c>
      <c r="F28" s="44">
        <f>F26*$E$11</f>
        <v>106920</v>
      </c>
      <c r="G28" s="44">
        <f t="shared" ref="G28:X28" si="8">G26*$E$11</f>
        <v>105850.8</v>
      </c>
      <c r="H28" s="44">
        <f t="shared" si="8"/>
        <v>104792.29199999999</v>
      </c>
      <c r="I28" s="44">
        <f t="shared" si="8"/>
        <v>103744.36907999999</v>
      </c>
      <c r="J28" s="44">
        <f t="shared" si="8"/>
        <v>102706.9253892</v>
      </c>
      <c r="K28" s="44">
        <f t="shared" si="8"/>
        <v>101679.85613530799</v>
      </c>
      <c r="L28" s="44">
        <f t="shared" si="8"/>
        <v>100663.05757395491</v>
      </c>
      <c r="M28" s="44">
        <f t="shared" si="8"/>
        <v>99656.426998215364</v>
      </c>
      <c r="N28" s="44">
        <f t="shared" si="8"/>
        <v>98659.862728233202</v>
      </c>
      <c r="O28" s="44">
        <f t="shared" si="8"/>
        <v>97673.264100950866</v>
      </c>
      <c r="P28" s="44">
        <f t="shared" si="8"/>
        <v>96696.531459941369</v>
      </c>
      <c r="Q28" s="44">
        <f t="shared" si="8"/>
        <v>95729.56614534196</v>
      </c>
      <c r="R28" s="44">
        <f t="shared" si="8"/>
        <v>94772.270483888511</v>
      </c>
      <c r="S28" s="44">
        <f t="shared" si="8"/>
        <v>93824.547779049637</v>
      </c>
      <c r="T28" s="44">
        <f t="shared" si="8"/>
        <v>92886.302301259144</v>
      </c>
      <c r="U28" s="44">
        <f t="shared" si="8"/>
        <v>91957.439278246558</v>
      </c>
      <c r="V28" s="44">
        <f t="shared" si="8"/>
        <v>91037.864885464092</v>
      </c>
      <c r="W28" s="44">
        <f t="shared" si="8"/>
        <v>90127.486236609446</v>
      </c>
      <c r="X28" s="44">
        <f t="shared" si="8"/>
        <v>89226.211374243343</v>
      </c>
      <c r="Y28" s="44">
        <f>Y26*$E$11</f>
        <v>18550.129344705187</v>
      </c>
      <c r="Z28" s="43">
        <f>SUM(E28:Y28)</f>
        <v>1962475.2032946115</v>
      </c>
    </row>
    <row r="29" spans="3:26" outlineLevel="1" x14ac:dyDescent="0.35">
      <c r="C29" t="s">
        <v>44</v>
      </c>
      <c r="D29" s="41" t="s">
        <v>30</v>
      </c>
      <c r="E29" s="42">
        <f>SUM($E$28:E28)</f>
        <v>85320</v>
      </c>
      <c r="F29" s="42">
        <f>SUM($E$28:F28)</f>
        <v>192240</v>
      </c>
      <c r="G29" s="42">
        <f>SUM($E$28:G28)</f>
        <v>298090.8</v>
      </c>
      <c r="H29" s="42">
        <f>SUM($E$28:H28)</f>
        <v>402883.09199999995</v>
      </c>
      <c r="I29" s="42">
        <f>SUM($E$28:I28)</f>
        <v>506627.46107999992</v>
      </c>
      <c r="J29" s="42">
        <f>SUM($E$28:J28)</f>
        <v>609334.3864691999</v>
      </c>
      <c r="K29" s="42">
        <f>SUM($E$28:K28)</f>
        <v>711014.24260450783</v>
      </c>
      <c r="L29" s="42">
        <f>SUM($E$28:L28)</f>
        <v>811677.30017846276</v>
      </c>
      <c r="M29" s="42">
        <f>SUM($E$28:M28)</f>
        <v>911333.72717667813</v>
      </c>
      <c r="N29" s="42">
        <f>SUM($E$28:N28)</f>
        <v>1009993.5899049114</v>
      </c>
      <c r="O29" s="42">
        <f>SUM($E$28:O28)</f>
        <v>1107666.8540058623</v>
      </c>
      <c r="P29" s="42">
        <f>SUM($E$28:P28)</f>
        <v>1204363.3854658036</v>
      </c>
      <c r="Q29" s="42">
        <f>SUM($E$28:Q28)</f>
        <v>1300092.9516111454</v>
      </c>
      <c r="R29" s="42">
        <f>SUM($E$28:R28)</f>
        <v>1394865.2220950339</v>
      </c>
      <c r="S29" s="42">
        <f>SUM($E$28:S28)</f>
        <v>1488689.7698740836</v>
      </c>
      <c r="T29" s="42">
        <f>SUM($E$28:T28)</f>
        <v>1581576.0721753428</v>
      </c>
      <c r="U29" s="42">
        <f>SUM($E$28:U28)</f>
        <v>1673533.5114535894</v>
      </c>
      <c r="V29" s="42">
        <f>SUM($E$28:V28)</f>
        <v>1764571.3763390535</v>
      </c>
      <c r="W29" s="42">
        <f>SUM($E$28:W28)</f>
        <v>1854698.862575663</v>
      </c>
      <c r="X29" s="42">
        <f>SUM($E$28:X28)</f>
        <v>1943925.0739499063</v>
      </c>
      <c r="Y29" s="42">
        <f>SUM($E$28:Y28)</f>
        <v>1962475.2032946115</v>
      </c>
      <c r="Z29" s="43"/>
    </row>
    <row r="30" spans="3:26" ht="15" outlineLevel="1" thickBot="1" x14ac:dyDescent="0.4">
      <c r="C30" t="s">
        <v>45</v>
      </c>
      <c r="D30" s="24" t="s">
        <v>46</v>
      </c>
      <c r="E30" s="45">
        <f t="shared" ref="E30:Y30" si="9">$K$7</f>
        <v>6.3695072319970958E-2</v>
      </c>
      <c r="F30" s="46">
        <f t="shared" si="9"/>
        <v>6.3695072319970958E-2</v>
      </c>
      <c r="G30" s="46">
        <f t="shared" si="9"/>
        <v>6.3695072319970958E-2</v>
      </c>
      <c r="H30" s="46">
        <f t="shared" si="9"/>
        <v>6.3695072319970958E-2</v>
      </c>
      <c r="I30" s="46">
        <f t="shared" si="9"/>
        <v>6.3695072319970958E-2</v>
      </c>
      <c r="J30" s="46">
        <f t="shared" si="9"/>
        <v>6.3695072319970958E-2</v>
      </c>
      <c r="K30" s="46">
        <f t="shared" si="9"/>
        <v>6.3695072319970958E-2</v>
      </c>
      <c r="L30" s="46">
        <f t="shared" si="9"/>
        <v>6.3695072319970958E-2</v>
      </c>
      <c r="M30" s="46">
        <f t="shared" si="9"/>
        <v>6.3695072319970958E-2</v>
      </c>
      <c r="N30" s="46">
        <f t="shared" si="9"/>
        <v>6.3695072319970958E-2</v>
      </c>
      <c r="O30" s="46">
        <f t="shared" si="9"/>
        <v>6.3695072319970958E-2</v>
      </c>
      <c r="P30" s="46">
        <f t="shared" si="9"/>
        <v>6.3695072319970958E-2</v>
      </c>
      <c r="Q30" s="46">
        <f t="shared" si="9"/>
        <v>6.3695072319970958E-2</v>
      </c>
      <c r="R30" s="46">
        <f t="shared" si="9"/>
        <v>6.3695072319970958E-2</v>
      </c>
      <c r="S30" s="47">
        <f t="shared" si="9"/>
        <v>6.3695072319970958E-2</v>
      </c>
      <c r="T30" s="47">
        <f t="shared" si="9"/>
        <v>6.3695072319970958E-2</v>
      </c>
      <c r="U30" s="47">
        <f t="shared" si="9"/>
        <v>6.3695072319970958E-2</v>
      </c>
      <c r="V30" s="47">
        <f t="shared" si="9"/>
        <v>6.3695072319970958E-2</v>
      </c>
      <c r="W30" s="47">
        <f t="shared" si="9"/>
        <v>6.3695072319970958E-2</v>
      </c>
      <c r="X30" s="47">
        <f t="shared" si="9"/>
        <v>6.3695072319970958E-2</v>
      </c>
      <c r="Y30" s="47">
        <f t="shared" si="9"/>
        <v>6.3695072319970958E-2</v>
      </c>
      <c r="Z30" s="12"/>
    </row>
    <row r="31" spans="3:26" outlineLevel="1" x14ac:dyDescent="0.35">
      <c r="C31" t="s">
        <v>47</v>
      </c>
      <c r="D31" s="13" t="s">
        <v>9</v>
      </c>
      <c r="E31" s="48">
        <f>$E$30*E28</f>
        <v>5434.4635703399217</v>
      </c>
      <c r="F31" s="48">
        <f t="shared" ref="F31:Y31" si="10">$E$30*F28</f>
        <v>6810.2771324512951</v>
      </c>
      <c r="G31" s="48">
        <f t="shared" si="10"/>
        <v>6742.1743611267821</v>
      </c>
      <c r="H31" s="48">
        <f t="shared" si="10"/>
        <v>6674.7526175155135</v>
      </c>
      <c r="I31" s="48">
        <f t="shared" si="10"/>
        <v>6608.0050913403584</v>
      </c>
      <c r="J31" s="48">
        <f t="shared" si="10"/>
        <v>6541.9250404269551</v>
      </c>
      <c r="K31" s="48">
        <f t="shared" si="10"/>
        <v>6476.5057900226848</v>
      </c>
      <c r="L31" s="48">
        <f t="shared" si="10"/>
        <v>6411.7407321224582</v>
      </c>
      <c r="M31" s="48">
        <f t="shared" si="10"/>
        <v>6347.623324801234</v>
      </c>
      <c r="N31" s="48">
        <f t="shared" si="10"/>
        <v>6284.1470915532209</v>
      </c>
      <c r="O31" s="48">
        <f t="shared" si="10"/>
        <v>6221.3056206376887</v>
      </c>
      <c r="P31" s="48">
        <f t="shared" si="10"/>
        <v>6159.092564431312</v>
      </c>
      <c r="Q31" s="48">
        <f t="shared" si="10"/>
        <v>6097.5016387869991</v>
      </c>
      <c r="R31" s="48">
        <f t="shared" si="10"/>
        <v>6036.5266223991275</v>
      </c>
      <c r="S31" s="48">
        <f t="shared" si="10"/>
        <v>5976.1613561751374</v>
      </c>
      <c r="T31" s="48">
        <f t="shared" si="10"/>
        <v>5916.3997426133856</v>
      </c>
      <c r="U31" s="48">
        <f t="shared" si="10"/>
        <v>5857.2357451872522</v>
      </c>
      <c r="V31" s="48">
        <f t="shared" si="10"/>
        <v>5798.6633877353797</v>
      </c>
      <c r="W31" s="48">
        <f t="shared" si="10"/>
        <v>5740.6767538580261</v>
      </c>
      <c r="X31" s="48">
        <f t="shared" si="10"/>
        <v>5683.2699863194448</v>
      </c>
      <c r="Y31" s="48">
        <f t="shared" si="10"/>
        <v>1181.5518301558122</v>
      </c>
      <c r="Z31" s="49">
        <f>$E$30*Z28</f>
        <v>124999.99999999999</v>
      </c>
    </row>
    <row r="32" spans="3:26" ht="64.75" customHeight="1" outlineLevel="1" x14ac:dyDescent="0.35"/>
    <row r="33" spans="4:18" ht="15" thickBot="1" x14ac:dyDescent="0.4"/>
    <row r="34" spans="4:18" ht="58.5" thickBot="1" x14ac:dyDescent="0.4">
      <c r="D34" s="103" t="s">
        <v>38</v>
      </c>
      <c r="E34" s="104" t="s">
        <v>48</v>
      </c>
      <c r="F34" s="104" t="s">
        <v>56</v>
      </c>
      <c r="G34" s="104" t="s">
        <v>50</v>
      </c>
      <c r="H34" s="104" t="s">
        <v>57</v>
      </c>
      <c r="I34" s="104" t="s">
        <v>51</v>
      </c>
      <c r="J34" s="104" t="s">
        <v>52</v>
      </c>
      <c r="K34" s="105" t="s">
        <v>53</v>
      </c>
      <c r="L34" s="106" t="s">
        <v>61</v>
      </c>
      <c r="M34" s="106" t="s">
        <v>22</v>
      </c>
      <c r="N34" s="106" t="s">
        <v>55</v>
      </c>
      <c r="P34" s="51"/>
      <c r="Q34" s="51"/>
      <c r="R34" s="51"/>
    </row>
    <row r="35" spans="4:18" x14ac:dyDescent="0.35">
      <c r="D35" s="83">
        <v>1</v>
      </c>
      <c r="E35" s="52">
        <f>E26</f>
        <v>94800</v>
      </c>
      <c r="F35" s="53">
        <f>E28</f>
        <v>85320</v>
      </c>
      <c r="G35" s="54">
        <f t="shared" ref="G35:G55" si="11">F35/$F$56</f>
        <v>4.347570856271938E-2</v>
      </c>
      <c r="H35" s="53">
        <f>SUM($F$35:F35)</f>
        <v>85320</v>
      </c>
      <c r="I35" s="84">
        <f>SUM($G$35:G35)</f>
        <v>4.347570856271938E-2</v>
      </c>
      <c r="J35" s="55">
        <f t="shared" ref="J35:J55" si="12">$K$6*G35</f>
        <v>5434.4635703399226</v>
      </c>
      <c r="K35" s="56">
        <f>SUM($J$35:J35)</f>
        <v>5434.4635703399226</v>
      </c>
      <c r="L35" s="100">
        <v>85320</v>
      </c>
      <c r="M35" s="85">
        <f>1-(L35/F35)</f>
        <v>0</v>
      </c>
      <c r="N35" s="135">
        <f t="shared" ref="N35:N53" si="13">M35*J35</f>
        <v>0</v>
      </c>
      <c r="P35" s="59"/>
      <c r="Q35" s="60"/>
    </row>
    <row r="36" spans="4:18" x14ac:dyDescent="0.35">
      <c r="D36" s="83">
        <f>D35+1</f>
        <v>2</v>
      </c>
      <c r="E36" s="52">
        <f>F26</f>
        <v>118800</v>
      </c>
      <c r="F36" s="53">
        <f>F28</f>
        <v>106920</v>
      </c>
      <c r="G36" s="54">
        <f t="shared" si="11"/>
        <v>5.4482217059610365E-2</v>
      </c>
      <c r="H36" s="53">
        <f>SUM($F$35:F36)</f>
        <v>192240</v>
      </c>
      <c r="I36" s="84">
        <f>SUM($G$35:G36)</f>
        <v>9.7957925622329745E-2</v>
      </c>
      <c r="J36" s="55">
        <f t="shared" si="12"/>
        <v>6810.277132451296</v>
      </c>
      <c r="K36" s="56">
        <f>SUM($J$35:J36)</f>
        <v>12244.74070279122</v>
      </c>
      <c r="L36" s="100">
        <v>106920</v>
      </c>
      <c r="M36" s="85">
        <f t="shared" ref="M36:M54" si="14">1-(L36/F36)</f>
        <v>0</v>
      </c>
      <c r="N36" s="135">
        <f t="shared" si="13"/>
        <v>0</v>
      </c>
      <c r="P36" s="61"/>
      <c r="Q36" s="60"/>
    </row>
    <row r="37" spans="4:18" x14ac:dyDescent="0.35">
      <c r="D37" s="83">
        <f t="shared" ref="D37:D48" si="15">D36+1</f>
        <v>3</v>
      </c>
      <c r="E37" s="52">
        <f>G26</f>
        <v>117612</v>
      </c>
      <c r="F37" s="53">
        <f>G28</f>
        <v>105850.8</v>
      </c>
      <c r="G37" s="54">
        <f t="shared" si="11"/>
        <v>5.3937394889014258E-2</v>
      </c>
      <c r="H37" s="53">
        <f>SUM($F$35:F37)</f>
        <v>298090.8</v>
      </c>
      <c r="I37" s="84">
        <f>SUM($G$35:G37)</f>
        <v>0.151895320511344</v>
      </c>
      <c r="J37" s="55">
        <f t="shared" si="12"/>
        <v>6742.1743611267821</v>
      </c>
      <c r="K37" s="56">
        <f>SUM($J$35:J37)</f>
        <v>18986.915063918001</v>
      </c>
      <c r="L37" s="100">
        <v>105850.8</v>
      </c>
      <c r="M37" s="85">
        <f t="shared" si="14"/>
        <v>0</v>
      </c>
      <c r="N37" s="135">
        <f t="shared" si="13"/>
        <v>0</v>
      </c>
      <c r="P37" s="61"/>
      <c r="Q37" s="60"/>
    </row>
    <row r="38" spans="4:18" x14ac:dyDescent="0.35">
      <c r="D38" s="83">
        <f t="shared" si="15"/>
        <v>4</v>
      </c>
      <c r="E38" s="52">
        <f>H26</f>
        <v>116435.87999999999</v>
      </c>
      <c r="F38" s="53">
        <f>H28</f>
        <v>104792.29199999999</v>
      </c>
      <c r="G38" s="54">
        <f t="shared" si="11"/>
        <v>5.3398020940124108E-2</v>
      </c>
      <c r="H38" s="53">
        <f>SUM($F$35:F38)</f>
        <v>402883.09199999995</v>
      </c>
      <c r="I38" s="84">
        <f>SUM($G$35:G38)</f>
        <v>0.2052933414514681</v>
      </c>
      <c r="J38" s="55">
        <f t="shared" si="12"/>
        <v>6674.7526175155135</v>
      </c>
      <c r="K38" s="56">
        <f>SUM($J$35:J38)</f>
        <v>25661.667681433515</v>
      </c>
      <c r="L38" s="100">
        <v>104792.29199999999</v>
      </c>
      <c r="M38" s="85">
        <f t="shared" si="14"/>
        <v>0</v>
      </c>
      <c r="N38" s="135">
        <f t="shared" si="13"/>
        <v>0</v>
      </c>
      <c r="P38" s="61"/>
      <c r="Q38" s="60"/>
    </row>
    <row r="39" spans="4:18" x14ac:dyDescent="0.35">
      <c r="D39" s="83">
        <f t="shared" si="15"/>
        <v>5</v>
      </c>
      <c r="E39" s="52">
        <f>I26</f>
        <v>115271.52119999999</v>
      </c>
      <c r="F39" s="53">
        <f>I28</f>
        <v>103744.36907999999</v>
      </c>
      <c r="G39" s="54">
        <f t="shared" si="11"/>
        <v>5.2864040730722872E-2</v>
      </c>
      <c r="H39" s="53">
        <f>SUM($F$35:F39)</f>
        <v>506627.46107999992</v>
      </c>
      <c r="I39" s="84">
        <f>SUM($G$35:G39)</f>
        <v>0.25815738218219098</v>
      </c>
      <c r="J39" s="55">
        <f t="shared" si="12"/>
        <v>6608.0050913403593</v>
      </c>
      <c r="K39" s="56">
        <f>SUM($J$35:J39)</f>
        <v>32269.672772773876</v>
      </c>
      <c r="L39" s="100">
        <v>103744.36907999999</v>
      </c>
      <c r="M39" s="85">
        <f t="shared" si="14"/>
        <v>0</v>
      </c>
      <c r="N39" s="135">
        <f t="shared" si="13"/>
        <v>0</v>
      </c>
      <c r="P39" s="61"/>
      <c r="Q39" s="60"/>
    </row>
    <row r="40" spans="4:18" x14ac:dyDescent="0.35">
      <c r="D40" s="83">
        <f t="shared" si="15"/>
        <v>6</v>
      </c>
      <c r="E40" s="52">
        <f>J26</f>
        <v>114118.80598799999</v>
      </c>
      <c r="F40" s="53">
        <f>J28</f>
        <v>102706.9253892</v>
      </c>
      <c r="G40" s="54">
        <f t="shared" si="11"/>
        <v>5.2335400323415646E-2</v>
      </c>
      <c r="H40" s="53">
        <f>SUM($F$35:F40)</f>
        <v>609334.3864691999</v>
      </c>
      <c r="I40" s="84">
        <f>SUM($G$35:G40)</f>
        <v>0.31049278250560663</v>
      </c>
      <c r="J40" s="55">
        <f t="shared" si="12"/>
        <v>6541.925040426956</v>
      </c>
      <c r="K40" s="56">
        <f>SUM($J$35:J40)</f>
        <v>38811.597813200831</v>
      </c>
      <c r="L40" s="100">
        <v>102706.9253892</v>
      </c>
      <c r="M40" s="85">
        <f t="shared" si="14"/>
        <v>0</v>
      </c>
      <c r="N40" s="135">
        <f t="shared" si="13"/>
        <v>0</v>
      </c>
      <c r="P40" s="61"/>
      <c r="Q40" s="60"/>
    </row>
    <row r="41" spans="4:18" x14ac:dyDescent="0.35">
      <c r="D41" s="83">
        <f t="shared" si="15"/>
        <v>7</v>
      </c>
      <c r="E41" s="52">
        <f>K26</f>
        <v>112977.61792811999</v>
      </c>
      <c r="F41" s="53">
        <f>K28</f>
        <v>101679.85613530799</v>
      </c>
      <c r="G41" s="54">
        <f t="shared" si="11"/>
        <v>5.1812046320181486E-2</v>
      </c>
      <c r="H41" s="53">
        <f>SUM($F$35:F41)</f>
        <v>711014.24260450783</v>
      </c>
      <c r="I41" s="84">
        <f>SUM($G$35:G41)</f>
        <v>0.36230482882578813</v>
      </c>
      <c r="J41" s="55">
        <f t="shared" si="12"/>
        <v>6476.5057900226857</v>
      </c>
      <c r="K41" s="56">
        <f>SUM($J$35:J41)</f>
        <v>45288.103603223513</v>
      </c>
      <c r="L41" s="100">
        <v>101679.85613530799</v>
      </c>
      <c r="M41" s="85">
        <f t="shared" si="14"/>
        <v>0</v>
      </c>
      <c r="N41" s="135">
        <f t="shared" si="13"/>
        <v>0</v>
      </c>
      <c r="P41" s="61"/>
      <c r="Q41" s="60"/>
    </row>
    <row r="42" spans="4:18" x14ac:dyDescent="0.35">
      <c r="D42" s="83">
        <f t="shared" si="15"/>
        <v>8</v>
      </c>
      <c r="E42" s="52">
        <f>L26</f>
        <v>111847.84174883879</v>
      </c>
      <c r="F42" s="53">
        <f>L28</f>
        <v>100663.05757395491</v>
      </c>
      <c r="G42" s="54">
        <f t="shared" si="11"/>
        <v>5.1293925856979672E-2</v>
      </c>
      <c r="H42" s="53">
        <f>SUM($F$35:F42)</f>
        <v>811677.30017846276</v>
      </c>
      <c r="I42" s="84">
        <f>SUM($G$35:G42)</f>
        <v>0.4135987546827678</v>
      </c>
      <c r="J42" s="55">
        <f t="shared" si="12"/>
        <v>6411.7407321224591</v>
      </c>
      <c r="K42" s="56">
        <f>SUM($J$35:J42)</f>
        <v>51699.844335345973</v>
      </c>
      <c r="L42" s="100">
        <v>100663.05757395491</v>
      </c>
      <c r="M42" s="85">
        <f t="shared" si="14"/>
        <v>0</v>
      </c>
      <c r="N42" s="135">
        <f t="shared" si="13"/>
        <v>0</v>
      </c>
      <c r="P42" s="61"/>
      <c r="Q42" s="60"/>
    </row>
    <row r="43" spans="4:18" x14ac:dyDescent="0.35">
      <c r="D43" s="83">
        <f t="shared" si="15"/>
        <v>9</v>
      </c>
      <c r="E43" s="52">
        <f>M26</f>
        <v>110729.3633313504</v>
      </c>
      <c r="F43" s="53">
        <f>M28</f>
        <v>99656.426998215364</v>
      </c>
      <c r="G43" s="54">
        <f t="shared" si="11"/>
        <v>5.0780986598409877E-2</v>
      </c>
      <c r="H43" s="53">
        <f>SUM($F$35:F43)</f>
        <v>911333.72717667813</v>
      </c>
      <c r="I43" s="84">
        <f>SUM($G$35:G43)</f>
        <v>0.46437974128117765</v>
      </c>
      <c r="J43" s="55">
        <f t="shared" si="12"/>
        <v>6347.623324801235</v>
      </c>
      <c r="K43" s="56">
        <f>SUM($J$35:J43)</f>
        <v>58047.467660147209</v>
      </c>
      <c r="L43" s="100">
        <v>99656.426998215364</v>
      </c>
      <c r="M43" s="85">
        <f t="shared" si="14"/>
        <v>0</v>
      </c>
      <c r="N43" s="135">
        <f t="shared" si="13"/>
        <v>0</v>
      </c>
      <c r="P43" s="61"/>
      <c r="Q43" s="60"/>
    </row>
    <row r="44" spans="4:18" x14ac:dyDescent="0.35">
      <c r="D44" s="83">
        <f t="shared" si="15"/>
        <v>10</v>
      </c>
      <c r="E44" s="52">
        <f>N26</f>
        <v>109622.06969803688</v>
      </c>
      <c r="F44" s="53">
        <f>N28</f>
        <v>98659.862728233202</v>
      </c>
      <c r="G44" s="54">
        <f t="shared" si="11"/>
        <v>5.0273176732425776E-2</v>
      </c>
      <c r="H44" s="53">
        <f>SUM($F$35:F44)</f>
        <v>1009993.5899049114</v>
      </c>
      <c r="I44" s="84">
        <f>SUM($G$35:G44)</f>
        <v>0.51465291801360347</v>
      </c>
      <c r="J44" s="55">
        <f t="shared" si="12"/>
        <v>6284.1470915532218</v>
      </c>
      <c r="K44" s="56">
        <f>SUM($J$35:J44)</f>
        <v>64331.614751700428</v>
      </c>
      <c r="L44" s="100">
        <v>98659.862728233202</v>
      </c>
      <c r="M44" s="85">
        <f t="shared" si="14"/>
        <v>0</v>
      </c>
      <c r="N44" s="135">
        <f t="shared" si="13"/>
        <v>0</v>
      </c>
      <c r="P44" s="61"/>
      <c r="Q44" s="60"/>
    </row>
    <row r="45" spans="4:18" x14ac:dyDescent="0.35">
      <c r="D45" s="83">
        <f t="shared" si="15"/>
        <v>11</v>
      </c>
      <c r="E45" s="52">
        <f>O26</f>
        <v>108525.84900105651</v>
      </c>
      <c r="F45" s="53">
        <f>O28</f>
        <v>97673.264100950866</v>
      </c>
      <c r="G45" s="54">
        <f t="shared" si="11"/>
        <v>4.977044496510151E-2</v>
      </c>
      <c r="H45" s="53">
        <f>SUM($F$35:F45)</f>
        <v>1107666.8540058623</v>
      </c>
      <c r="I45" s="84">
        <f>SUM($G$35:G45)</f>
        <v>0.56442336297870499</v>
      </c>
      <c r="J45" s="55">
        <f t="shared" si="12"/>
        <v>6221.3056206376887</v>
      </c>
      <c r="K45" s="56">
        <f>SUM($J$35:J45)</f>
        <v>70552.920372338122</v>
      </c>
      <c r="L45" s="100">
        <v>97673.264100950866</v>
      </c>
      <c r="M45" s="85">
        <f t="shared" si="14"/>
        <v>0</v>
      </c>
      <c r="N45" s="135">
        <f t="shared" si="13"/>
        <v>0</v>
      </c>
      <c r="P45" s="61"/>
      <c r="Q45" s="60"/>
    </row>
    <row r="46" spans="4:18" x14ac:dyDescent="0.35">
      <c r="D46" s="83">
        <f t="shared" si="15"/>
        <v>12</v>
      </c>
      <c r="E46" s="52">
        <f>P26</f>
        <v>107440.59051104596</v>
      </c>
      <c r="F46" s="53">
        <f>P28</f>
        <v>96696.531459941369</v>
      </c>
      <c r="G46" s="54">
        <f t="shared" si="11"/>
        <v>4.9272740515450504E-2</v>
      </c>
      <c r="H46" s="53">
        <f>SUM($F$35:F46)</f>
        <v>1204363.3854658036</v>
      </c>
      <c r="I46" s="84">
        <f>SUM($G$35:G46)</f>
        <v>0.61369610349415549</v>
      </c>
      <c r="J46" s="55">
        <f t="shared" si="12"/>
        <v>6159.0925644313129</v>
      </c>
      <c r="K46" s="56">
        <f>SUM($J$35:J46)</f>
        <v>76712.012936769432</v>
      </c>
      <c r="L46" s="100">
        <v>96696.531459941369</v>
      </c>
      <c r="M46" s="85">
        <f t="shared" si="14"/>
        <v>0</v>
      </c>
      <c r="N46" s="135">
        <f t="shared" si="13"/>
        <v>0</v>
      </c>
      <c r="P46" s="61"/>
      <c r="Q46" s="60"/>
    </row>
    <row r="47" spans="4:18" x14ac:dyDescent="0.35">
      <c r="D47" s="83">
        <f t="shared" si="15"/>
        <v>13</v>
      </c>
      <c r="E47" s="52">
        <f>Q26</f>
        <v>106366.1846059355</v>
      </c>
      <c r="F47" s="53">
        <f>Q28</f>
        <v>95729.56614534196</v>
      </c>
      <c r="G47" s="54">
        <f t="shared" si="11"/>
        <v>4.8780013110295999E-2</v>
      </c>
      <c r="H47" s="53">
        <f>SUM($F$35:F47)</f>
        <v>1300092.9516111454</v>
      </c>
      <c r="I47" s="84">
        <f>SUM($G$35:G47)</f>
        <v>0.66247611660445149</v>
      </c>
      <c r="J47" s="55">
        <f t="shared" si="12"/>
        <v>6097.501638787</v>
      </c>
      <c r="K47" s="56">
        <f>SUM($J$35:J47)</f>
        <v>82809.51457555643</v>
      </c>
      <c r="L47" s="100">
        <v>95729.56614534196</v>
      </c>
      <c r="M47" s="85">
        <f t="shared" si="14"/>
        <v>0</v>
      </c>
      <c r="N47" s="135">
        <f t="shared" si="13"/>
        <v>0</v>
      </c>
      <c r="P47" s="61"/>
      <c r="Q47" s="60"/>
    </row>
    <row r="48" spans="4:18" x14ac:dyDescent="0.35">
      <c r="D48" s="83">
        <f t="shared" si="15"/>
        <v>14</v>
      </c>
      <c r="E48" s="52">
        <f>R26</f>
        <v>105302.52275987613</v>
      </c>
      <c r="F48" s="53">
        <f>R28</f>
        <v>94772.270483888511</v>
      </c>
      <c r="G48" s="54">
        <f t="shared" si="11"/>
        <v>4.8292212979193026E-2</v>
      </c>
      <c r="H48" s="53">
        <f>SUM($F$35:F48)</f>
        <v>1394865.2220950339</v>
      </c>
      <c r="I48" s="84">
        <f>SUM($G$35:G48)</f>
        <v>0.71076832958364455</v>
      </c>
      <c r="J48" s="55">
        <f t="shared" si="12"/>
        <v>6036.5266223991284</v>
      </c>
      <c r="K48" s="56">
        <f>SUM($J$35:J48)</f>
        <v>88846.041197955565</v>
      </c>
      <c r="L48" s="100">
        <v>94772.270483888511</v>
      </c>
      <c r="M48" s="85">
        <f t="shared" si="14"/>
        <v>0</v>
      </c>
      <c r="N48" s="135">
        <f t="shared" si="13"/>
        <v>0</v>
      </c>
      <c r="P48" s="61"/>
      <c r="Q48" s="60"/>
    </row>
    <row r="49" spans="4:17" x14ac:dyDescent="0.35">
      <c r="D49" s="83">
        <f>D48+1</f>
        <v>15</v>
      </c>
      <c r="E49" s="52">
        <f>S26</f>
        <v>104249.49753227737</v>
      </c>
      <c r="F49" s="53">
        <f>S28</f>
        <v>93824.547779049637</v>
      </c>
      <c r="G49" s="54">
        <f t="shared" si="11"/>
        <v>4.7809290849401102E-2</v>
      </c>
      <c r="H49" s="53">
        <f>SUM($F$35:F49)</f>
        <v>1488689.7698740836</v>
      </c>
      <c r="I49" s="62">
        <f>SUM($G$35:G49)</f>
        <v>0.75857762043304566</v>
      </c>
      <c r="J49" s="55">
        <f t="shared" si="12"/>
        <v>5976.1613561751374</v>
      </c>
      <c r="K49" s="56">
        <f>SUM($J$35:J49)</f>
        <v>94822.202554130708</v>
      </c>
      <c r="L49" s="100">
        <v>93824.547779049637</v>
      </c>
      <c r="M49" s="85">
        <f t="shared" si="14"/>
        <v>0</v>
      </c>
      <c r="N49" s="135">
        <f t="shared" si="13"/>
        <v>0</v>
      </c>
      <c r="P49" s="89"/>
      <c r="Q49" s="60"/>
    </row>
    <row r="50" spans="4:17" x14ac:dyDescent="0.35">
      <c r="D50" s="83">
        <f t="shared" ref="D50:D54" si="16">D49+1</f>
        <v>16</v>
      </c>
      <c r="E50" s="52">
        <f>T26</f>
        <v>103207.0025569546</v>
      </c>
      <c r="F50" s="53">
        <f>T28</f>
        <v>92886.302301259144</v>
      </c>
      <c r="G50" s="54">
        <f t="shared" si="11"/>
        <v>4.7331197940907094E-2</v>
      </c>
      <c r="H50" s="53">
        <f>SUM($F$35:F50)</f>
        <v>1581576.0721753428</v>
      </c>
      <c r="I50" s="62">
        <f>SUM($G$35:G50)</f>
        <v>0.80590881837395278</v>
      </c>
      <c r="J50" s="55">
        <f t="shared" si="12"/>
        <v>5916.3997426133865</v>
      </c>
      <c r="K50" s="56">
        <f>SUM($J$35:J50)</f>
        <v>100738.60229674409</v>
      </c>
      <c r="L50" s="100">
        <v>92886.302301259144</v>
      </c>
      <c r="M50" s="85">
        <f t="shared" si="14"/>
        <v>0</v>
      </c>
      <c r="N50" s="135">
        <f t="shared" si="13"/>
        <v>0</v>
      </c>
      <c r="P50" s="89"/>
      <c r="Q50" s="60"/>
    </row>
    <row r="51" spans="4:17" x14ac:dyDescent="0.35">
      <c r="D51" s="83">
        <f t="shared" si="16"/>
        <v>17</v>
      </c>
      <c r="E51" s="52">
        <f>U26</f>
        <v>102174.93253138506</v>
      </c>
      <c r="F51" s="53">
        <f>U28</f>
        <v>91957.439278246558</v>
      </c>
      <c r="G51" s="54">
        <f t="shared" si="11"/>
        <v>4.6857885961498022E-2</v>
      </c>
      <c r="H51" s="53">
        <f>SUM($F$35:F51)</f>
        <v>1673533.5114535894</v>
      </c>
      <c r="I51" s="62">
        <f>SUM($G$35:G51)</f>
        <v>0.85276670433545076</v>
      </c>
      <c r="J51" s="55">
        <f t="shared" si="12"/>
        <v>5857.2357451872531</v>
      </c>
      <c r="K51" s="56">
        <f>SUM($J$35:J51)</f>
        <v>106595.83804193135</v>
      </c>
      <c r="L51" s="100">
        <v>91957.439278246558</v>
      </c>
      <c r="M51" s="85">
        <f t="shared" si="14"/>
        <v>0</v>
      </c>
      <c r="N51" s="135">
        <f t="shared" si="13"/>
        <v>0</v>
      </c>
      <c r="P51" s="89"/>
      <c r="Q51" s="60"/>
    </row>
    <row r="52" spans="4:17" x14ac:dyDescent="0.35">
      <c r="D52" s="83">
        <f t="shared" si="16"/>
        <v>18</v>
      </c>
      <c r="E52" s="52">
        <f>V26</f>
        <v>101153.1832060712</v>
      </c>
      <c r="F52" s="53">
        <f>V28</f>
        <v>91037.864885464092</v>
      </c>
      <c r="G52" s="54">
        <f t="shared" si="11"/>
        <v>4.6389307101883041E-2</v>
      </c>
      <c r="H52" s="53">
        <f>SUM($F$35:F52)</f>
        <v>1764571.3763390535</v>
      </c>
      <c r="I52" s="62">
        <f>SUM($G$35:G52)</f>
        <v>0.89915601143733381</v>
      </c>
      <c r="J52" s="55">
        <f t="shared" si="12"/>
        <v>5798.6633877353797</v>
      </c>
      <c r="K52" s="56">
        <f>SUM($J$35:J52)</f>
        <v>112394.50142966672</v>
      </c>
      <c r="L52" s="100">
        <v>91037.864885464092</v>
      </c>
      <c r="M52" s="85">
        <f t="shared" si="14"/>
        <v>0</v>
      </c>
      <c r="N52" s="135">
        <f t="shared" si="13"/>
        <v>0</v>
      </c>
      <c r="P52" s="89"/>
      <c r="Q52" s="60"/>
    </row>
    <row r="53" spans="4:17" x14ac:dyDescent="0.35">
      <c r="D53" s="83">
        <f t="shared" si="16"/>
        <v>19</v>
      </c>
      <c r="E53" s="52">
        <f>W26</f>
        <v>100141.65137401049</v>
      </c>
      <c r="F53" s="53">
        <f>W28</f>
        <v>90127.486236609446</v>
      </c>
      <c r="G53" s="54">
        <f t="shared" si="11"/>
        <v>4.5925414030864212E-2</v>
      </c>
      <c r="H53" s="53">
        <f>SUM($F$35:F53)</f>
        <v>1854698.862575663</v>
      </c>
      <c r="I53" s="62">
        <f>SUM($G$35:G53)</f>
        <v>0.94508142546819807</v>
      </c>
      <c r="J53" s="55">
        <f t="shared" si="12"/>
        <v>5740.6767538580261</v>
      </c>
      <c r="K53" s="56">
        <f>SUM($J$35:J53)</f>
        <v>118135.17818352475</v>
      </c>
      <c r="L53" s="100">
        <v>90127.486236609446</v>
      </c>
      <c r="M53" s="85">
        <f t="shared" si="14"/>
        <v>0</v>
      </c>
      <c r="N53" s="135">
        <f t="shared" si="13"/>
        <v>0</v>
      </c>
      <c r="P53" s="89"/>
      <c r="Q53" s="60"/>
    </row>
    <row r="54" spans="4:17" x14ac:dyDescent="0.35">
      <c r="D54" s="83">
        <f t="shared" si="16"/>
        <v>20</v>
      </c>
      <c r="E54" s="52">
        <f>X26</f>
        <v>99140.234860270371</v>
      </c>
      <c r="F54" s="53">
        <f>X28</f>
        <v>89226.211374243343</v>
      </c>
      <c r="G54" s="54">
        <f t="shared" si="11"/>
        <v>4.5466159890555566E-2</v>
      </c>
      <c r="H54" s="53">
        <f>SUM($F$35:F54)</f>
        <v>1943925.0739499063</v>
      </c>
      <c r="I54" s="62">
        <f>SUM($G$35:G54)</f>
        <v>0.99054758535875365</v>
      </c>
      <c r="J54" s="55">
        <f t="shared" si="12"/>
        <v>5683.2699863194457</v>
      </c>
      <c r="K54" s="56">
        <f>SUM($J$35:J54)</f>
        <v>123818.4481698442</v>
      </c>
      <c r="L54" s="100">
        <v>89226.211374243343</v>
      </c>
      <c r="M54" s="85">
        <f t="shared" si="14"/>
        <v>0</v>
      </c>
      <c r="N54" s="135">
        <f>M54*J54</f>
        <v>0</v>
      </c>
      <c r="P54" s="89"/>
      <c r="Q54" s="60"/>
    </row>
    <row r="55" spans="4:17" ht="15" thickBot="1" x14ac:dyDescent="0.4">
      <c r="D55" s="129">
        <v>21</v>
      </c>
      <c r="E55" s="130">
        <f>Y26</f>
        <v>20611.254827450208</v>
      </c>
      <c r="F55" s="53">
        <f>Y28</f>
        <v>18550.129344705187</v>
      </c>
      <c r="G55" s="54">
        <f t="shared" si="11"/>
        <v>9.4524146412464996E-3</v>
      </c>
      <c r="H55" s="53">
        <f>SUM($F$35:F55)</f>
        <v>1962475.2032946115</v>
      </c>
      <c r="I55" s="62">
        <f>SUM($G$35:G55)</f>
        <v>1.0000000000000002</v>
      </c>
      <c r="J55" s="55">
        <f t="shared" si="12"/>
        <v>1181.5518301558125</v>
      </c>
      <c r="K55" s="56">
        <f>SUM($J$35:J55)</f>
        <v>125000.00000000001</v>
      </c>
      <c r="L55" s="100">
        <v>18550.129344705187</v>
      </c>
      <c r="M55" s="85">
        <f>1-(L55/F55)</f>
        <v>0</v>
      </c>
      <c r="N55" s="135">
        <f>M55*J55</f>
        <v>0</v>
      </c>
      <c r="P55" s="89"/>
      <c r="Q55" s="60"/>
    </row>
    <row r="56" spans="4:17" ht="15" thickBot="1" x14ac:dyDescent="0.4">
      <c r="D56" s="63" t="s">
        <v>39</v>
      </c>
      <c r="E56" s="64">
        <f>SUM(E35:E55)</f>
        <v>2180528.0036606789</v>
      </c>
      <c r="F56" s="64">
        <f>SUM(F35:F55)</f>
        <v>1962475.2032946115</v>
      </c>
      <c r="G56" s="112">
        <f>SUM(G35:G55)</f>
        <v>1.0000000000000002</v>
      </c>
      <c r="H56" s="65">
        <f>IF(H55=F56,1,0)</f>
        <v>1</v>
      </c>
      <c r="I56" s="50"/>
      <c r="J56" s="66">
        <f>SUM(J35:J55)</f>
        <v>125000.00000000001</v>
      </c>
      <c r="K56" s="65">
        <f>IF(K55=J56,1,0)</f>
        <v>1</v>
      </c>
      <c r="L56" s="64">
        <f>SUM(L35:L55)</f>
        <v>1962475.2032946115</v>
      </c>
      <c r="M56" s="67"/>
      <c r="N56" s="134">
        <f>SUM(N35:N55)</f>
        <v>0</v>
      </c>
      <c r="O56" s="61"/>
      <c r="P56" s="61"/>
    </row>
    <row r="57" spans="4:17" x14ac:dyDescent="0.35"/>
    <row r="58" spans="4:17" hidden="1" x14ac:dyDescent="0.35"/>
    <row r="59" spans="4:17" ht="15" hidden="1" customHeight="1" outlineLevel="1" thickBot="1" x14ac:dyDescent="0.4">
      <c r="D59" s="108" t="s">
        <v>64</v>
      </c>
      <c r="H59" s="152" t="s">
        <v>60</v>
      </c>
      <c r="I59" s="152"/>
      <c r="L59" s="107"/>
      <c r="O59" s="86"/>
      <c r="P59" s="87"/>
    </row>
    <row r="60" spans="4:17" ht="14.4" hidden="1" customHeight="1" outlineLevel="1" thickBot="1" x14ac:dyDescent="0.4">
      <c r="D60" s="153" t="s">
        <v>65</v>
      </c>
      <c r="E60" s="154"/>
      <c r="F60" s="155"/>
      <c r="L60" s="107"/>
    </row>
    <row r="61" spans="4:17" ht="45.75" hidden="1" customHeight="1" outlineLevel="1" thickBot="1" x14ac:dyDescent="0.4">
      <c r="D61" s="156"/>
      <c r="E61" s="157"/>
      <c r="F61" s="158"/>
      <c r="H61" s="111" t="s">
        <v>38</v>
      </c>
      <c r="I61" s="103" t="s">
        <v>49</v>
      </c>
      <c r="J61" s="103" t="s">
        <v>50</v>
      </c>
      <c r="K61" s="103" t="s">
        <v>52</v>
      </c>
      <c r="L61" s="103" t="s">
        <v>54</v>
      </c>
      <c r="M61" s="103" t="s">
        <v>22</v>
      </c>
      <c r="N61" s="111" t="s">
        <v>55</v>
      </c>
    </row>
    <row r="62" spans="4:17" ht="14.4" hidden="1" customHeight="1" outlineLevel="1" x14ac:dyDescent="0.35">
      <c r="D62" s="159"/>
      <c r="E62" s="160"/>
      <c r="F62" s="161"/>
      <c r="H62" s="52" t="str">
        <f>IFERROR(IF('Output Projections'!D35&lt;=$M$12,'Output Projections'!D35,""),0)</f>
        <v/>
      </c>
      <c r="I62" s="68">
        <f>IFERROR(IF($H62&lt;=$M$12,'Output Projections'!F35,0),0)</f>
        <v>85320</v>
      </c>
      <c r="J62" s="58">
        <f>IFERROR(IF($H62&lt;=$M$12,'Output Projections'!G35,""),0)</f>
        <v>4.347570856271938E-2</v>
      </c>
      <c r="K62" s="57">
        <f>IFERROR(IF($H62&lt;=$M$12,'Output Projections'!J35,""),0)</f>
        <v>5434.4635703399226</v>
      </c>
      <c r="L62" s="57">
        <f>IFERROR(IF($H62&lt;=$M$12,'Output Projections'!L35,""),0)</f>
        <v>85320</v>
      </c>
      <c r="M62" s="58">
        <f>IF($H62=$M$12,$M$13,"")</f>
        <v>0</v>
      </c>
      <c r="N62" s="109">
        <f>IFERROR(IF($H62&lt;=$M$12,K62*M62,""),"")</f>
        <v>0</v>
      </c>
    </row>
    <row r="63" spans="4:17" hidden="1" outlineLevel="1" x14ac:dyDescent="0.35">
      <c r="H63" s="52" t="str">
        <f>IFERROR(IF('Output Projections'!D36&lt;=$M$12,'Output Projections'!D36,""),0)</f>
        <v/>
      </c>
      <c r="I63" s="68">
        <f>IFERROR(IF($H63&lt;=$M$12,'Output Projections'!F36,0),0)</f>
        <v>106920</v>
      </c>
      <c r="J63" s="58">
        <f>IFERROR(IF($H63&lt;=$M$12,'Output Projections'!G36,""),0)</f>
        <v>5.4482217059610365E-2</v>
      </c>
      <c r="K63" s="57">
        <f>IFERROR(IF($H63&lt;=$M$12,'Output Projections'!J36,""),0)</f>
        <v>6810.277132451296</v>
      </c>
      <c r="L63" s="57">
        <f>IFERROR(IF($H63&lt;=$M$12,'Output Projections'!L36,""),0)</f>
        <v>106920</v>
      </c>
      <c r="M63" s="58">
        <f t="shared" ref="M63:M75" si="17">IF($H63=$M$12,$M$13,"")</f>
        <v>0</v>
      </c>
      <c r="N63" s="109">
        <f t="shared" ref="N63:N75" si="18">IFERROR(IF($H63&lt;=$M$12,K63*M63,""),"")</f>
        <v>0</v>
      </c>
    </row>
    <row r="64" spans="4:17" hidden="1" outlineLevel="1" x14ac:dyDescent="0.35">
      <c r="H64" s="52" t="str">
        <f>IFERROR(IF('Output Projections'!D37&lt;=$M$12,'Output Projections'!D37,""),0)</f>
        <v/>
      </c>
      <c r="I64" s="68">
        <f>IFERROR(IF($H64&lt;=$M$12,'Output Projections'!F37,0),0)</f>
        <v>105850.8</v>
      </c>
      <c r="J64" s="58">
        <f>IFERROR(IF($H64&lt;=$M$12,'Output Projections'!G37,""),0)</f>
        <v>5.3937394889014258E-2</v>
      </c>
      <c r="K64" s="57">
        <f>IFERROR(IF($H64&lt;=$M$12,'Output Projections'!J37,""),0)</f>
        <v>6742.1743611267821</v>
      </c>
      <c r="L64" s="57">
        <f>IFERROR(IF($H64&lt;=$M$12,'Output Projections'!L37,""),0)</f>
        <v>105850.8</v>
      </c>
      <c r="M64" s="58">
        <f t="shared" si="17"/>
        <v>0</v>
      </c>
      <c r="N64" s="109">
        <f t="shared" si="18"/>
        <v>0</v>
      </c>
    </row>
    <row r="65" spans="8:14" hidden="1" outlineLevel="1" x14ac:dyDescent="0.35">
      <c r="H65" s="52" t="str">
        <f>IFERROR(IF('Output Projections'!D38&lt;=$M$12,'Output Projections'!D38,""),0)</f>
        <v/>
      </c>
      <c r="I65" s="68">
        <f>IFERROR(IF($H65&lt;=$M$12,'Output Projections'!F38,0),0)</f>
        <v>104792.29199999999</v>
      </c>
      <c r="J65" s="58">
        <f>IFERROR(IF($H65&lt;=$M$12,'Output Projections'!G38,""),0)</f>
        <v>5.3398020940124108E-2</v>
      </c>
      <c r="K65" s="57">
        <f>IFERROR(IF($H65&lt;=$M$12,'Output Projections'!J38,""),0)</f>
        <v>6674.7526175155135</v>
      </c>
      <c r="L65" s="57">
        <f>IFERROR(IF($H65&lt;=$M$12,'Output Projections'!L38,""),0)</f>
        <v>104792.29199999999</v>
      </c>
      <c r="M65" s="58">
        <f t="shared" si="17"/>
        <v>0</v>
      </c>
      <c r="N65" s="109">
        <f t="shared" si="18"/>
        <v>0</v>
      </c>
    </row>
    <row r="66" spans="8:14" hidden="1" outlineLevel="1" x14ac:dyDescent="0.35">
      <c r="H66" s="52" t="str">
        <f>IFERROR(IF('Output Projections'!D39&lt;=$M$12,'Output Projections'!D39,""),0)</f>
        <v/>
      </c>
      <c r="I66" s="68">
        <f>IFERROR(IF($H66&lt;=$M$12,'Output Projections'!F39,0),0)</f>
        <v>103744.36907999999</v>
      </c>
      <c r="J66" s="58">
        <f>IFERROR(IF($H66&lt;=$M$12,'Output Projections'!G39,""),0)</f>
        <v>5.2864040730722872E-2</v>
      </c>
      <c r="K66" s="57">
        <f>IFERROR(IF($H66&lt;=$M$12,'Output Projections'!J39,""),0)</f>
        <v>6608.0050913403593</v>
      </c>
      <c r="L66" s="57">
        <f>IFERROR(IF($H66&lt;=$M$12,'Output Projections'!L39,""),0)</f>
        <v>103744.36907999999</v>
      </c>
      <c r="M66" s="58">
        <f t="shared" si="17"/>
        <v>0</v>
      </c>
      <c r="N66" s="109">
        <f t="shared" si="18"/>
        <v>0</v>
      </c>
    </row>
    <row r="67" spans="8:14" hidden="1" outlineLevel="1" x14ac:dyDescent="0.35">
      <c r="H67" s="52" t="str">
        <f>IFERROR(IF('Output Projections'!D40&lt;=$M$12,'Output Projections'!D40,""),0)</f>
        <v/>
      </c>
      <c r="I67" s="68">
        <f>IFERROR(IF($H67&lt;=$M$12,'Output Projections'!F40,0),0)</f>
        <v>102706.9253892</v>
      </c>
      <c r="J67" s="58">
        <f>IFERROR(IF($H67&lt;=$M$12,'Output Projections'!G40,""),0)</f>
        <v>5.2335400323415646E-2</v>
      </c>
      <c r="K67" s="57">
        <f>IFERROR(IF($H67&lt;=$M$12,'Output Projections'!J40,""),0)</f>
        <v>6541.925040426956</v>
      </c>
      <c r="L67" s="57">
        <f>IFERROR(IF($H67&lt;=$M$12,'Output Projections'!L40,""),0)</f>
        <v>102706.9253892</v>
      </c>
      <c r="M67" s="58">
        <f t="shared" si="17"/>
        <v>0</v>
      </c>
      <c r="N67" s="109">
        <f t="shared" si="18"/>
        <v>0</v>
      </c>
    </row>
    <row r="68" spans="8:14" hidden="1" outlineLevel="1" x14ac:dyDescent="0.35">
      <c r="H68" s="52" t="str">
        <f>IFERROR(IF('Output Projections'!D41&lt;=$M$12,'Output Projections'!D41,""),0)</f>
        <v/>
      </c>
      <c r="I68" s="68">
        <f>IFERROR(IF($H68&lt;=$M$12,'Output Projections'!F41,0),0)</f>
        <v>101679.85613530799</v>
      </c>
      <c r="J68" s="58">
        <f>IFERROR(IF($H68&lt;=$M$12,'Output Projections'!G41,""),0)</f>
        <v>5.1812046320181486E-2</v>
      </c>
      <c r="K68" s="57">
        <f>IFERROR(IF($H68&lt;=$M$12,'Output Projections'!J41,""),0)</f>
        <v>6476.5057900226857</v>
      </c>
      <c r="L68" s="57">
        <f>IFERROR(IF($H68&lt;=$M$12,'Output Projections'!L41,""),0)</f>
        <v>101679.85613530799</v>
      </c>
      <c r="M68" s="58">
        <f t="shared" si="17"/>
        <v>0</v>
      </c>
      <c r="N68" s="109">
        <f t="shared" si="18"/>
        <v>0</v>
      </c>
    </row>
    <row r="69" spans="8:14" hidden="1" outlineLevel="1" x14ac:dyDescent="0.35">
      <c r="H69" s="52" t="str">
        <f>IFERROR(IF('Output Projections'!D42&lt;=$M$12,'Output Projections'!D42,""),0)</f>
        <v/>
      </c>
      <c r="I69" s="68">
        <f>IFERROR(IF($H69&lt;=$M$12,'Output Projections'!F42,0),0)</f>
        <v>100663.05757395491</v>
      </c>
      <c r="J69" s="58">
        <f>IFERROR(IF($H69&lt;=$M$12,'Output Projections'!G42,""),0)</f>
        <v>5.1293925856979672E-2</v>
      </c>
      <c r="K69" s="57">
        <f>IFERROR(IF($H69&lt;=$M$12,'Output Projections'!J42,""),0)</f>
        <v>6411.7407321224591</v>
      </c>
      <c r="L69" s="57">
        <f>IFERROR(IF($H69&lt;=$M$12,'Output Projections'!L42,""),0)</f>
        <v>100663.05757395491</v>
      </c>
      <c r="M69" s="58">
        <f t="shared" si="17"/>
        <v>0</v>
      </c>
      <c r="N69" s="109">
        <f t="shared" si="18"/>
        <v>0</v>
      </c>
    </row>
    <row r="70" spans="8:14" hidden="1" outlineLevel="1" x14ac:dyDescent="0.35">
      <c r="H70" s="52" t="str">
        <f>IFERROR(IF('Output Projections'!D43&lt;=$M$12,'Output Projections'!D43,""),0)</f>
        <v/>
      </c>
      <c r="I70" s="68">
        <f>IFERROR(IF($H70&lt;=$M$12,'Output Projections'!F43,0),0)</f>
        <v>99656.426998215364</v>
      </c>
      <c r="J70" s="58">
        <f>IFERROR(IF($H70&lt;=$M$12,'Output Projections'!G43,""),0)</f>
        <v>5.0780986598409877E-2</v>
      </c>
      <c r="K70" s="57">
        <f>IFERROR(IF($H70&lt;=$M$12,'Output Projections'!J43,""),0)</f>
        <v>6347.623324801235</v>
      </c>
      <c r="L70" s="57">
        <f>IFERROR(IF($H70&lt;=$M$12,'Output Projections'!L43,""),0)</f>
        <v>99656.426998215364</v>
      </c>
      <c r="M70" s="58">
        <f t="shared" si="17"/>
        <v>0</v>
      </c>
      <c r="N70" s="109">
        <f t="shared" si="18"/>
        <v>0</v>
      </c>
    </row>
    <row r="71" spans="8:14" hidden="1" outlineLevel="1" x14ac:dyDescent="0.35">
      <c r="H71" s="52" t="str">
        <f>IFERROR(IF('Output Projections'!D44&lt;=$M$12,'Output Projections'!D44,""),0)</f>
        <v/>
      </c>
      <c r="I71" s="68">
        <f>IFERROR(IF($H71&lt;=$M$12,'Output Projections'!F44,0),0)</f>
        <v>98659.862728233202</v>
      </c>
      <c r="J71" s="58">
        <f>IFERROR(IF($H71&lt;=$M$12,'Output Projections'!G44,""),0)</f>
        <v>5.0273176732425776E-2</v>
      </c>
      <c r="K71" s="57">
        <f>IFERROR(IF($H71&lt;=$M$12,'Output Projections'!J44,""),0)</f>
        <v>6284.1470915532218</v>
      </c>
      <c r="L71" s="57">
        <f>IFERROR(IF($H71&lt;=$M$12,'Output Projections'!L44,""),0)</f>
        <v>98659.862728233202</v>
      </c>
      <c r="M71" s="58">
        <f t="shared" si="17"/>
        <v>0</v>
      </c>
      <c r="N71" s="109">
        <f t="shared" si="18"/>
        <v>0</v>
      </c>
    </row>
    <row r="72" spans="8:14" hidden="1" outlineLevel="1" x14ac:dyDescent="0.35">
      <c r="H72" s="52" t="str">
        <f>IFERROR(IF('Output Projections'!D45&lt;=$M$12,'Output Projections'!D45,""),0)</f>
        <v/>
      </c>
      <c r="I72" s="68">
        <f>IFERROR(IF($H72&lt;=$M$12,'Output Projections'!F45,0),0)</f>
        <v>97673.264100950866</v>
      </c>
      <c r="J72" s="58">
        <f>IFERROR(IF($H72&lt;=$M$12,'Output Projections'!G45,""),0)</f>
        <v>4.977044496510151E-2</v>
      </c>
      <c r="K72" s="57">
        <f>IFERROR(IF($H72&lt;=$M$12,'Output Projections'!J45,""),0)</f>
        <v>6221.3056206376887</v>
      </c>
      <c r="L72" s="57">
        <f>IFERROR(IF($H72&lt;=$M$12,'Output Projections'!L45,""),0)</f>
        <v>97673.264100950866</v>
      </c>
      <c r="M72" s="58">
        <f t="shared" si="17"/>
        <v>0</v>
      </c>
      <c r="N72" s="109">
        <f t="shared" si="18"/>
        <v>0</v>
      </c>
    </row>
    <row r="73" spans="8:14" hidden="1" outlineLevel="1" x14ac:dyDescent="0.35">
      <c r="H73" s="52" t="str">
        <f>IFERROR(IF('Output Projections'!D46&lt;=$M$12,'Output Projections'!D46,""),0)</f>
        <v/>
      </c>
      <c r="I73" s="68">
        <f>IFERROR(IF($H73&lt;=$M$12,'Output Projections'!F46,0),0)</f>
        <v>96696.531459941369</v>
      </c>
      <c r="J73" s="58">
        <f>IFERROR(IF($H73&lt;=$M$12,'Output Projections'!G46,""),0)</f>
        <v>4.9272740515450504E-2</v>
      </c>
      <c r="K73" s="57">
        <f>IFERROR(IF($H73&lt;=$M$12,'Output Projections'!J46,""),0)</f>
        <v>6159.0925644313129</v>
      </c>
      <c r="L73" s="57">
        <f>IFERROR(IF($H73&lt;=$M$12,'Output Projections'!L46,""),0)</f>
        <v>96696.531459941369</v>
      </c>
      <c r="M73" s="58">
        <f t="shared" si="17"/>
        <v>0</v>
      </c>
      <c r="N73" s="109">
        <f t="shared" si="18"/>
        <v>0</v>
      </c>
    </row>
    <row r="74" spans="8:14" hidden="1" outlineLevel="1" x14ac:dyDescent="0.35">
      <c r="H74" s="52" t="str">
        <f>IFERROR(IF('Output Projections'!D47&lt;=$M$12,'Output Projections'!D47,""),0)</f>
        <v/>
      </c>
      <c r="I74" s="68">
        <f>IFERROR(IF($H74&lt;=$M$12,'Output Projections'!F47,0),0)</f>
        <v>95729.56614534196</v>
      </c>
      <c r="J74" s="58">
        <f>IFERROR(IF($H74&lt;=$M$12,'Output Projections'!G47,""),0)</f>
        <v>4.8780013110295999E-2</v>
      </c>
      <c r="K74" s="57">
        <f>IFERROR(IF($H74&lt;=$M$12,'Output Projections'!J47,""),0)</f>
        <v>6097.501638787</v>
      </c>
      <c r="L74" s="57">
        <f>IFERROR(IF($H74&lt;=$M$12,'Output Projections'!L47,""),0)</f>
        <v>95729.56614534196</v>
      </c>
      <c r="M74" s="58">
        <f t="shared" si="17"/>
        <v>0</v>
      </c>
      <c r="N74" s="109">
        <f t="shared" si="18"/>
        <v>0</v>
      </c>
    </row>
    <row r="75" spans="8:14" hidden="1" outlineLevel="1" x14ac:dyDescent="0.35">
      <c r="H75" s="52" t="str">
        <f>IFERROR(IF('Output Projections'!D48&lt;=$M$12,'Output Projections'!D48,""),0)</f>
        <v/>
      </c>
      <c r="I75" s="68">
        <f>IFERROR(IF($H75&lt;=$M$12,'Output Projections'!F48,0),0)</f>
        <v>94772.270483888511</v>
      </c>
      <c r="J75" s="58">
        <f>IFERROR(IF($H75&lt;=$M$12,'Output Projections'!G48,""),0)</f>
        <v>4.8292212979193026E-2</v>
      </c>
      <c r="K75" s="57">
        <f>IFERROR(IF($H75&lt;=$M$12,'Output Projections'!J48,""),0)</f>
        <v>6036.5266223991284</v>
      </c>
      <c r="L75" s="57">
        <f>IFERROR(IF($H75&lt;=$M$12,'Output Projections'!L48,""),0)</f>
        <v>94772.270483888511</v>
      </c>
      <c r="M75" s="58">
        <f t="shared" si="17"/>
        <v>0</v>
      </c>
      <c r="N75" s="109">
        <f t="shared" si="18"/>
        <v>0</v>
      </c>
    </row>
    <row r="76" spans="8:14" hidden="1" outlineLevel="1" x14ac:dyDescent="0.35">
      <c r="H76" s="52" t="str">
        <f>IFERROR(IF('Output Projections'!D49&lt;=$M$12,'Output Projections'!D49,""),0)</f>
        <v/>
      </c>
      <c r="I76" s="68">
        <f>IFERROR(IF($H76&lt;=$M$12,'Output Projections'!F49,0),0)</f>
        <v>93824.547779049637</v>
      </c>
      <c r="J76" s="58">
        <f>IFERROR(IF($H76&lt;=$M$12,'Output Projections'!G49,""),0)</f>
        <v>4.7809290849401102E-2</v>
      </c>
      <c r="K76" s="57">
        <f>IFERROR(IF($H76&lt;=$M$12,'Output Projections'!J49,""),0)</f>
        <v>5976.1613561751374</v>
      </c>
      <c r="L76" s="57">
        <f>IFERROR(IF($H76&lt;=$M$12,'Output Projections'!L49,""),0)</f>
        <v>93824.547779049637</v>
      </c>
      <c r="M76" s="58">
        <f>IF($H76=$M$12,$M$13,"")</f>
        <v>0</v>
      </c>
      <c r="N76" s="109">
        <f>IFERROR(IF($H76&lt;=$M$12,K76*M76,""),"")</f>
        <v>0</v>
      </c>
    </row>
    <row r="77" spans="8:14" hidden="1" outlineLevel="1" x14ac:dyDescent="0.35">
      <c r="H77" s="52" t="str">
        <f>IFERROR(IF('Output Projections'!D50&lt;=$M$12,'Output Projections'!D50,""),0)</f>
        <v/>
      </c>
      <c r="I77" s="68">
        <f>IFERROR(IF($H77&lt;=$M$12,'Output Projections'!F50,0),0)</f>
        <v>92886.302301259144</v>
      </c>
      <c r="J77" s="58">
        <f>IFERROR(IF($H77&lt;=$M$12,'Output Projections'!G50,""),0)</f>
        <v>4.7331197940907094E-2</v>
      </c>
      <c r="K77" s="57">
        <f>IFERROR(IF($H77&lt;=$M$12,'Output Projections'!J50,""),0)</f>
        <v>5916.3997426133865</v>
      </c>
      <c r="L77" s="57">
        <f>IFERROR(IF($H77&lt;=$M$12,'Output Projections'!L50,""),0)</f>
        <v>92886.302301259144</v>
      </c>
      <c r="M77" s="58">
        <f t="shared" ref="M77:M82" si="19">IF($H77=$M$12,$M$13,"")</f>
        <v>0</v>
      </c>
      <c r="N77" s="109">
        <f t="shared" ref="N77:N82" si="20">IFERROR(IF($H77&lt;=$M$12,K77*M77,""),"")</f>
        <v>0</v>
      </c>
    </row>
    <row r="78" spans="8:14" hidden="1" outlineLevel="1" x14ac:dyDescent="0.35">
      <c r="H78" s="52" t="str">
        <f>IFERROR(IF('Output Projections'!D51&lt;=$M$12,'Output Projections'!D51,""),0)</f>
        <v/>
      </c>
      <c r="I78" s="68">
        <f>IFERROR(IF($H78&lt;=$M$12,'Output Projections'!F51,0),0)</f>
        <v>91957.439278246558</v>
      </c>
      <c r="J78" s="58">
        <f>IFERROR(IF($H78&lt;=$M$12,'Output Projections'!G51,""),0)</f>
        <v>4.6857885961498022E-2</v>
      </c>
      <c r="K78" s="57">
        <f>IFERROR(IF($H78&lt;=$M$12,'Output Projections'!J51,""),0)</f>
        <v>5857.2357451872531</v>
      </c>
      <c r="L78" s="57">
        <f>IFERROR(IF($H78&lt;=$M$12,'Output Projections'!L51,""),0)</f>
        <v>91957.439278246558</v>
      </c>
      <c r="M78" s="58">
        <f t="shared" si="19"/>
        <v>0</v>
      </c>
      <c r="N78" s="109">
        <f t="shared" si="20"/>
        <v>0</v>
      </c>
    </row>
    <row r="79" spans="8:14" hidden="1" outlineLevel="1" x14ac:dyDescent="0.35">
      <c r="H79" s="52" t="str">
        <f>IFERROR(IF('Output Projections'!D52&lt;=$M$12,'Output Projections'!D52,""),0)</f>
        <v/>
      </c>
      <c r="I79" s="68">
        <f>IFERROR(IF($H79&lt;=$M$12,'Output Projections'!F52,0),0)</f>
        <v>91037.864885464092</v>
      </c>
      <c r="J79" s="58">
        <f>IFERROR(IF($H79&lt;=$M$12,'Output Projections'!G52,""),0)</f>
        <v>4.6389307101883041E-2</v>
      </c>
      <c r="K79" s="57">
        <f>IFERROR(IF($H79&lt;=$M$12,'Output Projections'!J52,""),0)</f>
        <v>5798.6633877353797</v>
      </c>
      <c r="L79" s="57">
        <f>IFERROR(IF($H79&lt;=$M$12,'Output Projections'!L52,""),0)</f>
        <v>91037.864885464092</v>
      </c>
      <c r="M79" s="58">
        <f t="shared" si="19"/>
        <v>0</v>
      </c>
      <c r="N79" s="109">
        <f t="shared" si="20"/>
        <v>0</v>
      </c>
    </row>
    <row r="80" spans="8:14" hidden="1" outlineLevel="1" x14ac:dyDescent="0.35">
      <c r="H80" s="52" t="str">
        <f>IFERROR(IF('Output Projections'!D53&lt;=$M$12,'Output Projections'!D53,""),0)</f>
        <v/>
      </c>
      <c r="I80" s="68">
        <f>IFERROR(IF($H80&lt;=$M$12,'Output Projections'!F53,0),0)</f>
        <v>90127.486236609446</v>
      </c>
      <c r="J80" s="58">
        <f>IFERROR(IF($H80&lt;=$M$12,'Output Projections'!G53,""),0)</f>
        <v>4.5925414030864212E-2</v>
      </c>
      <c r="K80" s="57">
        <f>IFERROR(IF($H80&lt;=$M$12,'Output Projections'!J53,""),0)</f>
        <v>5740.6767538580261</v>
      </c>
      <c r="L80" s="57">
        <f>IFERROR(IF($H80&lt;=$M$12,'Output Projections'!L53,""),0)</f>
        <v>90127.486236609446</v>
      </c>
      <c r="M80" s="58">
        <f t="shared" si="19"/>
        <v>0</v>
      </c>
      <c r="N80" s="109">
        <f t="shared" si="20"/>
        <v>0</v>
      </c>
    </row>
    <row r="81" spans="8:14" hidden="1" outlineLevel="1" x14ac:dyDescent="0.35">
      <c r="H81" s="52" t="str">
        <f>IFERROR(IF('Output Projections'!D54&lt;=$M$12,'Output Projections'!D54,""),0)</f>
        <v/>
      </c>
      <c r="I81" s="68">
        <f>IFERROR(IF($H81&lt;=$M$12,'Output Projections'!F54,0),0)</f>
        <v>89226.211374243343</v>
      </c>
      <c r="J81" s="58">
        <f>IFERROR(IF($H81&lt;=$M$12,'Output Projections'!G54,""),0)</f>
        <v>4.5466159890555566E-2</v>
      </c>
      <c r="K81" s="57">
        <f>IFERROR(IF($H81&lt;=$M$12,'Output Projections'!J54,""),0)</f>
        <v>5683.2699863194457</v>
      </c>
      <c r="L81" s="57">
        <f>IFERROR(IF($H81&lt;=$M$12,'Output Projections'!L54,""),0)</f>
        <v>89226.211374243343</v>
      </c>
      <c r="M81" s="58">
        <f t="shared" si="19"/>
        <v>0</v>
      </c>
      <c r="N81" s="109">
        <f t="shared" si="20"/>
        <v>0</v>
      </c>
    </row>
    <row r="82" spans="8:14" ht="15" hidden="1" outlineLevel="1" thickBot="1" x14ac:dyDescent="0.4">
      <c r="H82" s="52" t="str">
        <f>IFERROR(IF('Output Projections'!D55&lt;=$M$12,'Output Projections'!D55,""),0)</f>
        <v/>
      </c>
      <c r="I82" s="68">
        <f>IFERROR(IF($H82&lt;=$M$12,'Output Projections'!F55,0),0)</f>
        <v>18550.129344705187</v>
      </c>
      <c r="J82" s="58">
        <f>IFERROR(IF($H82&lt;=$M$12,'Output Projections'!G55,""),0)</f>
        <v>9.4524146412464996E-3</v>
      </c>
      <c r="K82" s="57">
        <f>IFERROR(IF($H82&lt;=$M$12,'Output Projections'!J55,""),0)</f>
        <v>1181.5518301558125</v>
      </c>
      <c r="L82" s="57">
        <f>IFERROR(IF($H82&lt;=$M$12,'Output Projections'!L55,""),0)</f>
        <v>18550.129344705187</v>
      </c>
      <c r="M82" s="58">
        <f t="shared" si="19"/>
        <v>0</v>
      </c>
      <c r="N82" s="109">
        <f t="shared" si="20"/>
        <v>0</v>
      </c>
    </row>
    <row r="83" spans="8:14" ht="15" hidden="1" outlineLevel="1" thickBot="1" x14ac:dyDescent="0.4">
      <c r="H83" s="63" t="s">
        <v>39</v>
      </c>
      <c r="I83" s="69">
        <f t="shared" ref="I83:N83" si="21">SUM(I62:I82)</f>
        <v>1962475.2032946115</v>
      </c>
      <c r="J83" s="69">
        <f t="shared" si="21"/>
        <v>1.0000000000000002</v>
      </c>
      <c r="K83" s="69">
        <f t="shared" si="21"/>
        <v>125000.00000000001</v>
      </c>
      <c r="L83" s="69">
        <f t="shared" si="21"/>
        <v>1962475.2032946115</v>
      </c>
      <c r="M83" s="69">
        <f t="shared" si="21"/>
        <v>0</v>
      </c>
      <c r="N83" s="110">
        <f t="shared" si="21"/>
        <v>0</v>
      </c>
    </row>
    <row r="84" spans="8:14" hidden="1" outlineLevel="1" x14ac:dyDescent="0.35"/>
    <row r="85" spans="8:14" collapsed="1" x14ac:dyDescent="0.35"/>
    <row r="86" spans="8:14" x14ac:dyDescent="0.35"/>
    <row r="87" spans="8:14" hidden="1" x14ac:dyDescent="0.35"/>
    <row r="88" spans="8:14" hidden="1" x14ac:dyDescent="0.35"/>
    <row r="89" spans="8:14" hidden="1" x14ac:dyDescent="0.35"/>
    <row r="90" spans="8:14" hidden="1" x14ac:dyDescent="0.35"/>
    <row r="91" spans="8:14" hidden="1" x14ac:dyDescent="0.35"/>
    <row r="92" spans="8:14" hidden="1" x14ac:dyDescent="0.35"/>
    <row r="93" spans="8:14" hidden="1" x14ac:dyDescent="0.35"/>
    <row r="94" spans="8:14" hidden="1" x14ac:dyDescent="0.35"/>
    <row r="95" spans="8:14" hidden="1" x14ac:dyDescent="0.35"/>
    <row r="96" spans="8:14" hidden="1" x14ac:dyDescent="0.35"/>
    <row r="97" hidden="1" x14ac:dyDescent="0.35"/>
    <row r="98" hidden="1" x14ac:dyDescent="0.35"/>
    <row r="99" hidden="1" x14ac:dyDescent="0.35"/>
    <row r="100" hidden="1" x14ac:dyDescent="0.35"/>
    <row r="101" x14ac:dyDescent="0.35"/>
  </sheetData>
  <mergeCells count="2">
    <mergeCell ref="H59:I59"/>
    <mergeCell ref="D60:F62"/>
  </mergeCells>
  <conditionalFormatting sqref="H56">
    <cfRule type="colorScale" priority="2">
      <colorScale>
        <cfvo type="num" val="0"/>
        <cfvo type="num" val="1"/>
        <color rgb="FFC00000"/>
        <color rgb="FF92D050"/>
      </colorScale>
    </cfRule>
  </conditionalFormatting>
  <conditionalFormatting sqref="K56">
    <cfRule type="colorScale" priority="1">
      <colorScale>
        <cfvo type="num" val="0"/>
        <cfvo type="num" val="1"/>
        <color rgb="FFC00000"/>
        <color rgb="FF92D050"/>
      </colorScale>
    </cfRule>
  </conditionalFormatting>
  <dataValidations count="7">
    <dataValidation type="list" allowBlank="1" showInputMessage="1" showErrorMessage="1" sqref="M12 J12" xr:uid="{00000000-0002-0000-0000-000000000000}">
      <formula1>$D$35:$D$55</formula1>
    </dataValidation>
    <dataValidation type="decimal" allowBlank="1" showInputMessage="1" showErrorMessage="1" sqref="J13 M13" xr:uid="{00000000-0002-0000-0000-000001000000}">
      <formula1>0</formula1>
      <formula2>1</formula2>
    </dataValidation>
    <dataValidation type="decimal" operator="lessThanOrEqual" allowBlank="1" showInputMessage="1" showErrorMessage="1" sqref="K5" xr:uid="{00000000-0002-0000-0000-000002000000}">
      <formula1>1.25</formula1>
    </dataValidation>
    <dataValidation type="decimal" operator="lessThanOrEqual" allowBlank="1" showInputMessage="1" showErrorMessage="1" sqref="E14" xr:uid="{00000000-0002-0000-0000-000003000000}">
      <formula1>5</formula1>
    </dataValidation>
    <dataValidation type="decimal" allowBlank="1" showInputMessage="1" showErrorMessage="1" sqref="E16" xr:uid="{00000000-0002-0000-0000-000004000000}">
      <formula1>0</formula1>
      <formula2>0.5</formula2>
    </dataValidation>
    <dataValidation type="whole" allowBlank="1" showInputMessage="1" showErrorMessage="1" sqref="L35:L55" xr:uid="{00000000-0002-0000-0000-000005000000}">
      <formula1>0</formula1>
      <formula2>E35*1.2</formula2>
    </dataValidation>
    <dataValidation type="list" allowBlank="1" showInputMessage="1" showErrorMessage="1" sqref="E12" xr:uid="{F80BDAA3-85CC-440E-8245-CA290313246F}">
      <formula1>$D$35:$D$54</formula1>
    </dataValidation>
  </dataValidations>
  <pageMargins left="0.7" right="0.7" top="0.75" bottom="0.75" header="0.3" footer="0.3"/>
  <pageSetup scale="3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A3456-8C0E-4723-B5F9-7EE37451D8A9}">
  <dimension ref="A1:C14"/>
  <sheetViews>
    <sheetView workbookViewId="0">
      <selection activeCell="G11" sqref="G11"/>
    </sheetView>
  </sheetViews>
  <sheetFormatPr defaultRowHeight="14.5" x14ac:dyDescent="0.35"/>
  <cols>
    <col min="2" max="2" width="9.54296875" customWidth="1"/>
    <col min="3" max="3" width="10.36328125" customWidth="1"/>
  </cols>
  <sheetData>
    <row r="1" spans="1:3" x14ac:dyDescent="0.35">
      <c r="A1" t="s">
        <v>76</v>
      </c>
      <c r="B1" t="s">
        <v>77</v>
      </c>
      <c r="C1" t="s">
        <v>78</v>
      </c>
    </row>
    <row r="2" spans="1:3" x14ac:dyDescent="0.35">
      <c r="A2" t="s">
        <v>73</v>
      </c>
      <c r="B2" s="60">
        <v>0.05</v>
      </c>
      <c r="C2" s="127">
        <f>SUM(B2:B13)</f>
        <v>1</v>
      </c>
    </row>
    <row r="3" spans="1:3" x14ac:dyDescent="0.35">
      <c r="A3" t="s">
        <v>74</v>
      </c>
      <c r="B3" s="60">
        <v>7.0000000000000007E-2</v>
      </c>
      <c r="C3" s="127">
        <f t="shared" ref="C3:C13" si="0">SUM(B3:B14)</f>
        <v>0.95</v>
      </c>
    </row>
    <row r="4" spans="1:3" x14ac:dyDescent="0.35">
      <c r="A4" t="s">
        <v>75</v>
      </c>
      <c r="B4" s="60">
        <v>0.09</v>
      </c>
      <c r="C4" s="127">
        <f t="shared" si="0"/>
        <v>0.88000000000000012</v>
      </c>
    </row>
    <row r="5" spans="1:3" x14ac:dyDescent="0.35">
      <c r="A5" t="s">
        <v>79</v>
      </c>
      <c r="B5" s="60">
        <v>0.1</v>
      </c>
      <c r="C5" s="127">
        <f t="shared" si="0"/>
        <v>0.79</v>
      </c>
    </row>
    <row r="6" spans="1:3" x14ac:dyDescent="0.35">
      <c r="A6" t="s">
        <v>80</v>
      </c>
      <c r="B6" s="60">
        <v>0.11</v>
      </c>
      <c r="C6" s="127">
        <f t="shared" si="0"/>
        <v>0.69000000000000017</v>
      </c>
    </row>
    <row r="7" spans="1:3" x14ac:dyDescent="0.35">
      <c r="A7" t="s">
        <v>81</v>
      </c>
      <c r="B7" s="60">
        <v>0.11</v>
      </c>
      <c r="C7" s="127">
        <f t="shared" si="0"/>
        <v>0.58000000000000007</v>
      </c>
    </row>
    <row r="8" spans="1:3" x14ac:dyDescent="0.35">
      <c r="A8" t="s">
        <v>82</v>
      </c>
      <c r="B8" s="60">
        <v>0.11</v>
      </c>
      <c r="C8" s="127">
        <f t="shared" si="0"/>
        <v>0.47000000000000003</v>
      </c>
    </row>
    <row r="9" spans="1:3" x14ac:dyDescent="0.35">
      <c r="A9" t="s">
        <v>83</v>
      </c>
      <c r="B9" s="60">
        <v>0.1</v>
      </c>
      <c r="C9" s="127">
        <f t="shared" si="0"/>
        <v>0.36</v>
      </c>
    </row>
    <row r="10" spans="1:3" x14ac:dyDescent="0.35">
      <c r="A10" t="s">
        <v>84</v>
      </c>
      <c r="B10" s="60">
        <v>0.09</v>
      </c>
      <c r="C10" s="127">
        <f t="shared" si="0"/>
        <v>0.26</v>
      </c>
    </row>
    <row r="11" spans="1:3" x14ac:dyDescent="0.35">
      <c r="A11" t="s">
        <v>85</v>
      </c>
      <c r="B11" s="60">
        <v>7.0000000000000007E-2</v>
      </c>
      <c r="C11" s="127">
        <f t="shared" si="0"/>
        <v>0.17</v>
      </c>
    </row>
    <row r="12" spans="1:3" x14ac:dyDescent="0.35">
      <c r="A12" t="s">
        <v>86</v>
      </c>
      <c r="B12" s="60">
        <v>0.05</v>
      </c>
      <c r="C12" s="127">
        <f t="shared" si="0"/>
        <v>0.1</v>
      </c>
    </row>
    <row r="13" spans="1:3" x14ac:dyDescent="0.35">
      <c r="A13" t="s">
        <v>87</v>
      </c>
      <c r="B13" s="60">
        <v>0.05</v>
      </c>
      <c r="C13" s="127">
        <f t="shared" si="0"/>
        <v>0.05</v>
      </c>
    </row>
    <row r="14" spans="1:3" x14ac:dyDescent="0.35">
      <c r="B14" s="12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D29FD39EFC384B877535D8EB006535" ma:contentTypeVersion="13" ma:contentTypeDescription="Create a new document." ma:contentTypeScope="" ma:versionID="9569a33cb83f846a610625c65a649dc1">
  <xsd:schema xmlns:xsd="http://www.w3.org/2001/XMLSchema" xmlns:xs="http://www.w3.org/2001/XMLSchema" xmlns:p="http://schemas.microsoft.com/office/2006/metadata/properties" xmlns:ns3="0c786e71-2ab9-47d9-a0ef-0eae8b7fefec" xmlns:ns4="305146cd-ea14-4d95-acc3-7e19c77e931a" targetNamespace="http://schemas.microsoft.com/office/2006/metadata/properties" ma:root="true" ma:fieldsID="e553d9d521e8896591b9e5241796a73f" ns3:_="" ns4:_="">
    <xsd:import namespace="0c786e71-2ab9-47d9-a0ef-0eae8b7fefec"/>
    <xsd:import namespace="305146cd-ea14-4d95-acc3-7e19c77e931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786e71-2ab9-47d9-a0ef-0eae8b7fef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5146cd-ea14-4d95-acc3-7e19c77e931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83CC08-A049-4631-901F-8E782EF744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1A6991-B0FE-4A0B-8C42-ABE1EBABE079}">
  <ds:schemaRefs>
    <ds:schemaRef ds:uri="http://schemas.microsoft.com/office/infopath/2007/PartnerControls"/>
    <ds:schemaRef ds:uri="http://schemas.microsoft.com/office/2006/documentManagement/types"/>
    <ds:schemaRef ds:uri="0c786e71-2ab9-47d9-a0ef-0eae8b7fefec"/>
    <ds:schemaRef ds:uri="305146cd-ea14-4d95-acc3-7e19c77e931a"/>
    <ds:schemaRef ds:uri="http://schemas.openxmlformats.org/package/2006/metadata/core-properties"/>
    <ds:schemaRef ds:uri="http://purl.org/dc/dcmitype/"/>
    <ds:schemaRef ds:uri="http://purl.org/dc/terms/"/>
    <ds:schemaRef ds:uri="http://www.w3.org/XML/1998/namespace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BA83E23-3C75-45DC-8D01-FF45E9A3F7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786e71-2ab9-47d9-a0ef-0eae8b7fefec"/>
    <ds:schemaRef ds:uri="305146cd-ea14-4d95-acc3-7e19c77e93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Output Projections</vt:lpstr>
      <vt:lpstr>Sheet1</vt:lpstr>
      <vt:lpstr>'Output Projections'!MWh_per_kW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III</dc:creator>
  <cp:lastModifiedBy>Kalen Roach</cp:lastModifiedBy>
  <cp:lastPrinted>2020-02-10T17:17:50Z</cp:lastPrinted>
  <dcterms:created xsi:type="dcterms:W3CDTF">2019-03-01T18:25:56Z</dcterms:created>
  <dcterms:modified xsi:type="dcterms:W3CDTF">2020-10-08T21:56:19Z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0x010100D2D29FD39EFC384B877535D8EB006535</vt:lpwstr>
  </property>
</Properties>
</file>